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stenli/Downloads/"/>
    </mc:Choice>
  </mc:AlternateContent>
  <bookViews>
    <workbookView xWindow="0" yWindow="460" windowWidth="38400" windowHeight="19800" tabRatio="786"/>
  </bookViews>
  <sheets>
    <sheet name="SCP-F" sheetId="2" r:id="rId1"/>
  </sheets>
  <definedNames>
    <definedName name="_xlnm._FilterDatabase" localSheetId="0" hidden="1">'SCP-F'!#REF!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46" i="2" l="1"/>
  <c r="BX46" i="2"/>
  <c r="BV46" i="2"/>
  <c r="BR46" i="2"/>
  <c r="G17" i="2"/>
  <c r="D2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Q83" i="2"/>
  <c r="R83" i="2"/>
  <c r="S83" i="2"/>
  <c r="I102" i="2"/>
  <c r="J102" i="2"/>
  <c r="K102" i="2"/>
  <c r="L102" i="2"/>
  <c r="M102" i="2"/>
  <c r="I101" i="2"/>
  <c r="J101" i="2"/>
  <c r="K101" i="2"/>
  <c r="L101" i="2"/>
  <c r="M101" i="2"/>
  <c r="I100" i="2"/>
  <c r="J100" i="2"/>
  <c r="K100" i="2"/>
  <c r="L100" i="2"/>
  <c r="M100" i="2"/>
  <c r="I99" i="2"/>
  <c r="J99" i="2"/>
  <c r="K99" i="2"/>
  <c r="L99" i="2"/>
  <c r="M99" i="2"/>
  <c r="I98" i="2"/>
  <c r="J98" i="2"/>
  <c r="K98" i="2"/>
  <c r="L98" i="2"/>
  <c r="M98" i="2"/>
  <c r="I97" i="2"/>
  <c r="J97" i="2"/>
  <c r="K97" i="2"/>
  <c r="L97" i="2"/>
  <c r="M97" i="2"/>
  <c r="I96" i="2"/>
  <c r="J96" i="2"/>
  <c r="K96" i="2"/>
  <c r="L96" i="2"/>
  <c r="M96" i="2"/>
  <c r="I95" i="2"/>
  <c r="J95" i="2"/>
  <c r="K95" i="2"/>
  <c r="L95" i="2"/>
  <c r="M95" i="2"/>
  <c r="I94" i="2"/>
  <c r="J94" i="2"/>
  <c r="K94" i="2"/>
  <c r="L94" i="2"/>
  <c r="M94" i="2"/>
  <c r="I93" i="2"/>
  <c r="J93" i="2"/>
  <c r="K93" i="2"/>
  <c r="L93" i="2"/>
  <c r="M93" i="2"/>
  <c r="I92" i="2"/>
  <c r="J92" i="2"/>
  <c r="K92" i="2"/>
  <c r="L92" i="2"/>
  <c r="M92" i="2"/>
  <c r="C91" i="2"/>
  <c r="Y101" i="2"/>
  <c r="AU89" i="2"/>
  <c r="AU90" i="2"/>
  <c r="AU91" i="2"/>
  <c r="AU92" i="2"/>
  <c r="AU93" i="2"/>
  <c r="AU94" i="2"/>
  <c r="AU95" i="2"/>
  <c r="AU96" i="2"/>
  <c r="AU97" i="2"/>
  <c r="AU98" i="2"/>
  <c r="AU99" i="2"/>
  <c r="AU100" i="2"/>
  <c r="AU101" i="2"/>
  <c r="AU102" i="2"/>
  <c r="AU103" i="2"/>
  <c r="AU104" i="2"/>
  <c r="AU105" i="2"/>
  <c r="AU106" i="2"/>
  <c r="AU107" i="2"/>
  <c r="AU108" i="2"/>
  <c r="AU109" i="2"/>
  <c r="AU110" i="2"/>
  <c r="AU111" i="2"/>
  <c r="AV88" i="2"/>
  <c r="BM85" i="2"/>
  <c r="BM86" i="2"/>
  <c r="BR64" i="2"/>
  <c r="BQ64" i="2"/>
  <c r="BZ45" i="2"/>
  <c r="BX45" i="2"/>
  <c r="BV45" i="2"/>
  <c r="BR45" i="2"/>
  <c r="BI45" i="2"/>
  <c r="BI46" i="2"/>
  <c r="BG45" i="2"/>
  <c r="BG46" i="2"/>
  <c r="BE45" i="2"/>
  <c r="BE46" i="2"/>
  <c r="BD5" i="2"/>
  <c r="E19" i="2"/>
  <c r="F17" i="2"/>
  <c r="E17" i="2"/>
  <c r="AC101" i="2"/>
  <c r="AD101" i="2"/>
  <c r="AE101" i="2"/>
  <c r="Z101" i="2"/>
  <c r="AA101" i="2"/>
  <c r="AB101" i="2"/>
  <c r="E10" i="2"/>
  <c r="AV89" i="2"/>
  <c r="AV90" i="2"/>
  <c r="AV91" i="2"/>
  <c r="AV92" i="2"/>
  <c r="N94" i="2"/>
  <c r="O94" i="2"/>
  <c r="P94" i="2"/>
  <c r="Y94" i="2"/>
  <c r="N95" i="2"/>
  <c r="O95" i="2"/>
  <c r="P95" i="2"/>
  <c r="Y95" i="2"/>
  <c r="N102" i="2"/>
  <c r="O102" i="2"/>
  <c r="P102" i="2"/>
  <c r="Y102" i="2"/>
  <c r="Y91" i="2"/>
  <c r="N96" i="2"/>
  <c r="O96" i="2"/>
  <c r="P96" i="2"/>
  <c r="Y96" i="2"/>
  <c r="N97" i="2"/>
  <c r="O97" i="2"/>
  <c r="P97" i="2"/>
  <c r="Y97" i="2"/>
  <c r="I91" i="2"/>
  <c r="O91" i="2"/>
  <c r="P91" i="2"/>
  <c r="R91" i="2"/>
  <c r="S91" i="2"/>
  <c r="N98" i="2"/>
  <c r="O98" i="2"/>
  <c r="P98" i="2"/>
  <c r="Y98" i="2"/>
  <c r="N99" i="2"/>
  <c r="O99" i="2"/>
  <c r="P99" i="2"/>
  <c r="Y99" i="2"/>
  <c r="N92" i="2"/>
  <c r="O92" i="2"/>
  <c r="P92" i="2"/>
  <c r="Y92" i="2"/>
  <c r="N93" i="2"/>
  <c r="O93" i="2"/>
  <c r="P93" i="2"/>
  <c r="Y93" i="2"/>
  <c r="N100" i="2"/>
  <c r="O100" i="2"/>
  <c r="P100" i="2"/>
  <c r="Y100" i="2"/>
  <c r="N101" i="2"/>
  <c r="O101" i="2"/>
  <c r="P101" i="2"/>
  <c r="AC93" i="2"/>
  <c r="AD93" i="2"/>
  <c r="AE93" i="2"/>
  <c r="Z93" i="2"/>
  <c r="AA93" i="2"/>
  <c r="AB93" i="2"/>
  <c r="AC99" i="2"/>
  <c r="AD99" i="2"/>
  <c r="AE99" i="2"/>
  <c r="Z99" i="2"/>
  <c r="AA99" i="2"/>
  <c r="AB99" i="2"/>
  <c r="AC100" i="2"/>
  <c r="AD100" i="2"/>
  <c r="AE100" i="2"/>
  <c r="Z100" i="2"/>
  <c r="AA100" i="2"/>
  <c r="AB100" i="2"/>
  <c r="AC92" i="2"/>
  <c r="AD92" i="2"/>
  <c r="AE92" i="2"/>
  <c r="Z92" i="2"/>
  <c r="AA92" i="2"/>
  <c r="AB92" i="2"/>
  <c r="AC98" i="2"/>
  <c r="AD98" i="2"/>
  <c r="AE98" i="2"/>
  <c r="Z98" i="2"/>
  <c r="AA98" i="2"/>
  <c r="AB98" i="2"/>
  <c r="AC102" i="2"/>
  <c r="AD102" i="2"/>
  <c r="AE102" i="2"/>
  <c r="Z102" i="2"/>
  <c r="AA102" i="2"/>
  <c r="AB102" i="2"/>
  <c r="AC94" i="2"/>
  <c r="AD94" i="2"/>
  <c r="AE94" i="2"/>
  <c r="Z94" i="2"/>
  <c r="AA94" i="2"/>
  <c r="AB94" i="2"/>
  <c r="AC96" i="2"/>
  <c r="AD96" i="2"/>
  <c r="AE96" i="2"/>
  <c r="Z96" i="2"/>
  <c r="AA96" i="2"/>
  <c r="AB96" i="2"/>
  <c r="AC95" i="2"/>
  <c r="AD95" i="2"/>
  <c r="AE95" i="2"/>
  <c r="Z95" i="2"/>
  <c r="AA95" i="2"/>
  <c r="AB95" i="2"/>
  <c r="AC97" i="2"/>
  <c r="AD97" i="2"/>
  <c r="AE97" i="2"/>
  <c r="Z97" i="2"/>
  <c r="AA97" i="2"/>
  <c r="AB97" i="2"/>
  <c r="Z91" i="2"/>
  <c r="AA91" i="2"/>
  <c r="AB91" i="2"/>
  <c r="AC91" i="2"/>
  <c r="AD91" i="2"/>
  <c r="AE91" i="2"/>
  <c r="V91" i="2"/>
  <c r="Q92" i="2"/>
  <c r="R92" i="2"/>
  <c r="AG101" i="2"/>
  <c r="AV93" i="2"/>
  <c r="AG91" i="2"/>
  <c r="D24" i="2"/>
  <c r="AG95" i="2"/>
  <c r="AG96" i="2"/>
  <c r="AG99" i="2"/>
  <c r="AG94" i="2"/>
  <c r="AG97" i="2"/>
  <c r="AG102" i="2"/>
  <c r="AG98" i="2"/>
  <c r="AG92" i="2"/>
  <c r="R93" i="2"/>
  <c r="S92" i="2"/>
  <c r="AH91" i="2"/>
  <c r="AG93" i="2"/>
  <c r="AG100" i="2"/>
  <c r="AV94" i="2"/>
  <c r="Q93" i="2"/>
  <c r="V92" i="2"/>
  <c r="R94" i="2"/>
  <c r="S93" i="2"/>
  <c r="AV95" i="2"/>
  <c r="AH92" i="2"/>
  <c r="Q94" i="2"/>
  <c r="V93" i="2"/>
  <c r="S94" i="2"/>
  <c r="R95" i="2"/>
  <c r="AV96" i="2"/>
  <c r="Q95" i="2"/>
  <c r="V94" i="2"/>
  <c r="AH93" i="2"/>
  <c r="R96" i="2"/>
  <c r="S95" i="2"/>
  <c r="AV97" i="2"/>
  <c r="AH94" i="2"/>
  <c r="Q96" i="2"/>
  <c r="V95" i="2"/>
  <c r="S96" i="2"/>
  <c r="R97" i="2"/>
  <c r="AV98" i="2"/>
  <c r="Q97" i="2"/>
  <c r="V96" i="2"/>
  <c r="AH95" i="2"/>
  <c r="R98" i="2"/>
  <c r="S97" i="2"/>
  <c r="AV99" i="2"/>
  <c r="Q98" i="2"/>
  <c r="V97" i="2"/>
  <c r="AH96" i="2"/>
  <c r="S98" i="2"/>
  <c r="R99" i="2"/>
  <c r="AV100" i="2"/>
  <c r="AH97" i="2"/>
  <c r="Q99" i="2"/>
  <c r="V98" i="2"/>
  <c r="R100" i="2"/>
  <c r="S99" i="2"/>
  <c r="AV101" i="2"/>
  <c r="AH98" i="2"/>
  <c r="Q100" i="2"/>
  <c r="V99" i="2"/>
  <c r="R101" i="2"/>
  <c r="S100" i="2"/>
  <c r="AV102" i="2"/>
  <c r="Q101" i="2"/>
  <c r="V100" i="2"/>
  <c r="AH99" i="2"/>
  <c r="R102" i="2"/>
  <c r="S102" i="2"/>
  <c r="V102" i="2"/>
  <c r="S101" i="2"/>
  <c r="AV103" i="2"/>
  <c r="Q102" i="2"/>
  <c r="V101" i="2"/>
  <c r="X100" i="2"/>
  <c r="AH100" i="2"/>
  <c r="X102" i="2"/>
  <c r="AH102" i="2"/>
  <c r="AV104" i="2"/>
  <c r="X97" i="2"/>
  <c r="AI97" i="2"/>
  <c r="AK97" i="2"/>
  <c r="AM97" i="2"/>
  <c r="AO97" i="2"/>
  <c r="X91" i="2"/>
  <c r="X98" i="2"/>
  <c r="AI98" i="2"/>
  <c r="AJ98" i="2"/>
  <c r="AL98" i="2"/>
  <c r="AN98" i="2"/>
  <c r="X95" i="2"/>
  <c r="AI95" i="2"/>
  <c r="AJ95" i="2"/>
  <c r="AL95" i="2"/>
  <c r="AN95" i="2"/>
  <c r="AI100" i="2"/>
  <c r="AI102" i="2"/>
  <c r="X96" i="2"/>
  <c r="AI96" i="2"/>
  <c r="X101" i="2"/>
  <c r="AH101" i="2"/>
  <c r="X94" i="2"/>
  <c r="AI94" i="2"/>
  <c r="X92" i="2"/>
  <c r="AI92" i="2"/>
  <c r="X93" i="2"/>
  <c r="AI93" i="2"/>
  <c r="X99" i="2"/>
  <c r="AI99" i="2"/>
  <c r="AV105" i="2"/>
  <c r="W83" i="2"/>
  <c r="D26" i="2"/>
  <c r="D21" i="2"/>
  <c r="AJ97" i="2"/>
  <c r="AL97" i="2"/>
  <c r="AN97" i="2"/>
  <c r="AI91" i="2"/>
  <c r="AJ91" i="2"/>
  <c r="AL91" i="2"/>
  <c r="AN91" i="2"/>
  <c r="AK95" i="2"/>
  <c r="AM95" i="2"/>
  <c r="AO95" i="2"/>
  <c r="AK98" i="2"/>
  <c r="AM98" i="2"/>
  <c r="AO98" i="2"/>
  <c r="AI101" i="2"/>
  <c r="AJ101" i="2"/>
  <c r="AL101" i="2"/>
  <c r="AN101" i="2"/>
  <c r="AJ102" i="2"/>
  <c r="AL102" i="2"/>
  <c r="AN102" i="2"/>
  <c r="AK102" i="2"/>
  <c r="AM102" i="2"/>
  <c r="AO102" i="2"/>
  <c r="AK92" i="2"/>
  <c r="AM92" i="2"/>
  <c r="AO92" i="2"/>
  <c r="AJ92" i="2"/>
  <c r="AL92" i="2"/>
  <c r="AN92" i="2"/>
  <c r="AJ100" i="2"/>
  <c r="AL100" i="2"/>
  <c r="AN100" i="2"/>
  <c r="AK100" i="2"/>
  <c r="AM100" i="2"/>
  <c r="AO100" i="2"/>
  <c r="AK94" i="2"/>
  <c r="AM94" i="2"/>
  <c r="AO94" i="2"/>
  <c r="AJ94" i="2"/>
  <c r="AL94" i="2"/>
  <c r="AN94" i="2"/>
  <c r="AK91" i="2"/>
  <c r="AM91" i="2"/>
  <c r="AO91" i="2"/>
  <c r="AJ93" i="2"/>
  <c r="AL93" i="2"/>
  <c r="AN93" i="2"/>
  <c r="AK93" i="2"/>
  <c r="AM93" i="2"/>
  <c r="AO93" i="2"/>
  <c r="AJ99" i="2"/>
  <c r="AL99" i="2"/>
  <c r="AN99" i="2"/>
  <c r="AK99" i="2"/>
  <c r="AM99" i="2"/>
  <c r="AO99" i="2"/>
  <c r="AK96" i="2"/>
  <c r="AM96" i="2"/>
  <c r="AO96" i="2"/>
  <c r="AJ96" i="2"/>
  <c r="AL96" i="2"/>
  <c r="AN96" i="2"/>
  <c r="AV106" i="2"/>
  <c r="D18" i="2"/>
  <c r="C34" i="2"/>
  <c r="E18" i="2"/>
  <c r="AW101" i="2"/>
  <c r="AX101" i="2"/>
  <c r="D34" i="2"/>
  <c r="AK101" i="2"/>
  <c r="AM101" i="2"/>
  <c r="AO101" i="2"/>
  <c r="AV107" i="2"/>
  <c r="AW106" i="2"/>
  <c r="AX106" i="2"/>
  <c r="AW105" i="2"/>
  <c r="AX105" i="2"/>
  <c r="AW104" i="2"/>
  <c r="AX104" i="2"/>
  <c r="AW94" i="2"/>
  <c r="AX94" i="2"/>
  <c r="BK11" i="2"/>
  <c r="AW95" i="2"/>
  <c r="AX95" i="2"/>
  <c r="AW92" i="2"/>
  <c r="AX92" i="2"/>
  <c r="AW93" i="2"/>
  <c r="AX93" i="2"/>
  <c r="E21" i="2"/>
  <c r="BD8" i="2"/>
  <c r="BZ11" i="2"/>
  <c r="AW91" i="2"/>
  <c r="AX91" i="2"/>
  <c r="AW98" i="2"/>
  <c r="AX98" i="2"/>
  <c r="AW88" i="2"/>
  <c r="AX88" i="2"/>
  <c r="AW90" i="2"/>
  <c r="AX90" i="2"/>
  <c r="AW96" i="2"/>
  <c r="AX96" i="2"/>
  <c r="AW103" i="2"/>
  <c r="AX103" i="2"/>
  <c r="AW97" i="2"/>
  <c r="AX97" i="2"/>
  <c r="AW99" i="2"/>
  <c r="AX99" i="2"/>
  <c r="AW102" i="2"/>
  <c r="AX102" i="2"/>
  <c r="BK50" i="2"/>
  <c r="BS50" i="2"/>
  <c r="AW100" i="2"/>
  <c r="AX100" i="2"/>
  <c r="AW89" i="2"/>
  <c r="AX89" i="2"/>
  <c r="AV108" i="2"/>
  <c r="AW107" i="2"/>
  <c r="AX107" i="2"/>
  <c r="BS8" i="2"/>
  <c r="BB8" i="2"/>
  <c r="CB11" i="2"/>
  <c r="CB50" i="2"/>
  <c r="BB50" i="2"/>
  <c r="BC78" i="2"/>
  <c r="D46" i="2"/>
  <c r="BB11" i="2"/>
  <c r="AW108" i="2"/>
  <c r="AX108" i="2"/>
  <c r="AV109" i="2"/>
  <c r="D49" i="2"/>
  <c r="CB8" i="2"/>
  <c r="CC50" i="2"/>
  <c r="D10" i="2"/>
  <c r="D11" i="2"/>
  <c r="BA50" i="2"/>
  <c r="B10" i="2"/>
  <c r="B2" i="2"/>
  <c r="AV110" i="2"/>
  <c r="AW109" i="2"/>
  <c r="AX109" i="2"/>
  <c r="D29" i="2"/>
  <c r="E11" i="2"/>
  <c r="B11" i="2"/>
  <c r="B6" i="2"/>
  <c r="B5" i="2"/>
  <c r="AW110" i="2"/>
  <c r="AX110" i="2"/>
  <c r="AV111" i="2"/>
  <c r="AW111" i="2"/>
  <c r="E6" i="2"/>
  <c r="E5" i="2"/>
  <c r="AX111" i="2"/>
  <c r="CB78" i="2"/>
  <c r="AY99" i="2"/>
  <c r="AZ99" i="2"/>
  <c r="BO66" i="2"/>
  <c r="AY110" i="2"/>
  <c r="AZ110" i="2"/>
  <c r="BZ66" i="2"/>
  <c r="AY107" i="2"/>
  <c r="AZ107" i="2"/>
  <c r="BW66" i="2"/>
  <c r="AY93" i="2"/>
  <c r="AZ93" i="2"/>
  <c r="BI66" i="2"/>
  <c r="AY98" i="2"/>
  <c r="AZ98" i="2"/>
  <c r="BN66" i="2"/>
  <c r="AY102" i="2"/>
  <c r="AZ102" i="2"/>
  <c r="BR66" i="2"/>
  <c r="AY100" i="2"/>
  <c r="AZ100" i="2"/>
  <c r="BP66" i="2"/>
  <c r="AY111" i="2"/>
  <c r="AZ111" i="2"/>
  <c r="CA66" i="2"/>
  <c r="CA67" i="2"/>
  <c r="CA71" i="2"/>
  <c r="AY90" i="2"/>
  <c r="AZ90" i="2"/>
  <c r="BF66" i="2"/>
  <c r="AY91" i="2"/>
  <c r="AZ91" i="2"/>
  <c r="BG66" i="2"/>
  <c r="AY104" i="2"/>
  <c r="AZ104" i="2"/>
  <c r="BT66" i="2"/>
  <c r="AY103" i="2"/>
  <c r="AZ103" i="2"/>
  <c r="BS66" i="2"/>
  <c r="AY105" i="2"/>
  <c r="AZ105" i="2"/>
  <c r="BU66" i="2"/>
  <c r="AY96" i="2"/>
  <c r="AZ96" i="2"/>
  <c r="BL66" i="2"/>
  <c r="AY89" i="2"/>
  <c r="AZ89" i="2"/>
  <c r="BE66" i="2"/>
  <c r="AY97" i="2"/>
  <c r="AZ97" i="2"/>
  <c r="BM66" i="2"/>
  <c r="AY108" i="2"/>
  <c r="AZ108" i="2"/>
  <c r="BX66" i="2"/>
  <c r="AY106" i="2"/>
  <c r="AZ106" i="2"/>
  <c r="BV66" i="2"/>
  <c r="AY92" i="2"/>
  <c r="AZ92" i="2"/>
  <c r="BH66" i="2"/>
  <c r="AY88" i="2"/>
  <c r="AZ88" i="2"/>
  <c r="BD66" i="2"/>
  <c r="BD67" i="2"/>
  <c r="BD71" i="2"/>
  <c r="AY109" i="2"/>
  <c r="AZ109" i="2"/>
  <c r="BY66" i="2"/>
  <c r="AY95" i="2"/>
  <c r="AZ95" i="2"/>
  <c r="BK66" i="2"/>
  <c r="AY101" i="2"/>
  <c r="AZ101" i="2"/>
  <c r="BQ66" i="2"/>
  <c r="AY94" i="2"/>
  <c r="AZ94" i="2"/>
  <c r="BJ66" i="2"/>
  <c r="D50" i="2"/>
  <c r="D48" i="2"/>
  <c r="BO22" i="2"/>
  <c r="BO45" i="2"/>
  <c r="BO46" i="2"/>
  <c r="CA22" i="2"/>
  <c r="BU67" i="2"/>
  <c r="BU71" i="2"/>
  <c r="BT28" i="2"/>
  <c r="BJ28" i="2"/>
  <c r="BO67" i="2"/>
  <c r="BO71" i="2"/>
  <c r="BS58" i="2"/>
  <c r="BS64" i="2"/>
  <c r="BK58" i="2"/>
  <c r="BH67" i="2"/>
  <c r="BH71" i="2"/>
  <c r="BD35" i="2"/>
  <c r="BL35" i="2"/>
  <c r="BL45" i="2"/>
  <c r="BL46" i="2"/>
  <c r="BD41" i="2"/>
  <c r="BF41" i="2"/>
  <c r="BE67" i="2"/>
  <c r="BE71" i="2"/>
  <c r="BT67" i="2"/>
  <c r="BT71" i="2"/>
  <c r="CA23" i="2"/>
  <c r="BM23" i="2"/>
  <c r="BM45" i="2"/>
  <c r="BM46" i="2"/>
  <c r="BP67" i="2"/>
  <c r="BP71" i="2"/>
  <c r="BL57" i="2"/>
  <c r="BT57" i="2"/>
  <c r="BU27" i="2"/>
  <c r="BK27" i="2"/>
  <c r="BS40" i="2"/>
  <c r="BS45" i="2"/>
  <c r="BS46" i="2"/>
  <c r="BW67" i="2"/>
  <c r="BW71" i="2"/>
  <c r="CA40" i="2"/>
  <c r="CA34" i="2"/>
  <c r="BY67" i="2"/>
  <c r="BY71" i="2"/>
  <c r="BW34" i="2"/>
  <c r="BX67" i="2"/>
  <c r="BX71" i="2"/>
  <c r="BU35" i="2"/>
  <c r="CA35" i="2"/>
  <c r="BH40" i="2"/>
  <c r="BF67" i="2"/>
  <c r="BF71" i="2"/>
  <c r="BD40" i="2"/>
  <c r="BL59" i="2"/>
  <c r="BT29" i="2"/>
  <c r="BP59" i="2"/>
  <c r="BH29" i="2"/>
  <c r="BN67" i="2"/>
  <c r="BN71" i="2"/>
  <c r="BP33" i="2"/>
  <c r="BD33" i="2"/>
  <c r="BJ67" i="2"/>
  <c r="BJ71" i="2"/>
  <c r="BF30" i="2"/>
  <c r="BM67" i="2"/>
  <c r="BM71" i="2"/>
  <c r="BK60" i="2"/>
  <c r="BT30" i="2"/>
  <c r="BO60" i="2"/>
  <c r="BO64" i="2"/>
  <c r="BK24" i="2"/>
  <c r="CA24" i="2"/>
  <c r="BS67" i="2"/>
  <c r="BS71" i="2"/>
  <c r="BD34" i="2"/>
  <c r="BN34" i="2"/>
  <c r="BN45" i="2"/>
  <c r="BN46" i="2"/>
  <c r="BI67" i="2"/>
  <c r="BI71" i="2"/>
  <c r="BW26" i="2"/>
  <c r="BK26" i="2"/>
  <c r="BQ67" i="2"/>
  <c r="BQ71" i="2"/>
  <c r="BT56" i="2"/>
  <c r="BN56" i="2"/>
  <c r="BN64" i="2"/>
  <c r="BF32" i="2"/>
  <c r="BK67" i="2"/>
  <c r="BK71" i="2"/>
  <c r="BP32" i="2"/>
  <c r="BQ41" i="2"/>
  <c r="BQ45" i="2"/>
  <c r="BQ46" i="2"/>
  <c r="CA41" i="2"/>
  <c r="BV67" i="2"/>
  <c r="BV71" i="2"/>
  <c r="BL67" i="2"/>
  <c r="BL71" i="2"/>
  <c r="BK61" i="2"/>
  <c r="BM61" i="2"/>
  <c r="BM64" i="2"/>
  <c r="BD31" i="2"/>
  <c r="BT31" i="2"/>
  <c r="BD39" i="2"/>
  <c r="BJ39" i="2"/>
  <c r="BG67" i="2"/>
  <c r="BG71" i="2"/>
  <c r="BP55" i="2"/>
  <c r="BP64" i="2"/>
  <c r="BK25" i="2"/>
  <c r="BR67" i="2"/>
  <c r="BR71" i="2"/>
  <c r="BY25" i="2"/>
  <c r="BT55" i="2"/>
  <c r="BY33" i="2"/>
  <c r="BZ67" i="2"/>
  <c r="BZ71" i="2"/>
  <c r="CA33" i="2"/>
  <c r="BY45" i="2"/>
  <c r="BY46" i="2"/>
  <c r="BK45" i="2"/>
  <c r="BK46" i="2"/>
  <c r="BT64" i="2"/>
  <c r="BP45" i="2"/>
  <c r="BP46" i="2"/>
  <c r="BU45" i="2"/>
  <c r="BU46" i="2"/>
  <c r="BJ45" i="2"/>
  <c r="BJ46" i="2"/>
  <c r="BD45" i="2"/>
  <c r="BD46" i="2"/>
  <c r="BL64" i="2"/>
  <c r="BK64" i="2"/>
  <c r="BT45" i="2"/>
  <c r="BT46" i="2"/>
  <c r="BF45" i="2"/>
  <c r="BF46" i="2"/>
  <c r="BW45" i="2"/>
  <c r="BW46" i="2"/>
  <c r="BH45" i="2"/>
  <c r="BH46" i="2"/>
  <c r="CA45" i="2"/>
  <c r="CA46" i="2"/>
</calcChain>
</file>

<file path=xl/comments1.xml><?xml version="1.0" encoding="utf-8"?>
<comments xmlns="http://schemas.openxmlformats.org/spreadsheetml/2006/main">
  <authors>
    <author>Stanislav</author>
  </authors>
  <commentList>
    <comment ref="E17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разстояние между  крайните отвори на наклонения фрейм.
Без EXBARS.</t>
        </r>
      </text>
    </comment>
    <comment ref="F17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проектитрано разстояние между два  отвора
 на наклонения фрейм
43- константа за FT SC PF(FR 122)</t>
        </r>
      </text>
    </comment>
    <comment ref="G17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проектитрано разстояние между първия отвор на фрейма и началото на координатната система в която смята центъра на тежеста.
56.666355; 89.1698 
константи за FR SCPF(FR 122)</t>
        </r>
      </text>
    </comment>
    <comment ref="E18" authorId="0">
      <text>
        <r>
          <rPr>
            <sz val="12"/>
            <color indexed="81"/>
            <rFont val="Tahoma"/>
            <family val="2"/>
          </rPr>
          <t>разстояние от центъра на тежеста на системата до първия отвор за шегел при накланяне на фрейма.
Това разстояние се ползва за пресмятане на силите при EXBAR ОТЗАД!</t>
        </r>
      </text>
    </comment>
    <comment ref="E19" authorId="0">
      <text>
        <r>
          <rPr>
            <b/>
            <sz val="12"/>
            <color indexed="81"/>
            <rFont val="Tahoma"/>
            <family val="2"/>
          </rPr>
          <t>Stanislav:</t>
        </r>
        <r>
          <rPr>
            <sz val="12"/>
            <color indexed="81"/>
            <rFont val="Tahoma"/>
            <family val="2"/>
          </rPr>
          <t xml:space="preserve">
разстояние между  крайните отвори на наклонения фрейм+ EXBAR</t>
        </r>
      </text>
    </comment>
    <comment ref="E21" authorId="0">
      <text>
        <r>
          <rPr>
            <b/>
            <sz val="12"/>
            <color indexed="81"/>
            <rFont val="Tahoma"/>
            <family val="2"/>
          </rPr>
          <t>разтояние на центъра на тежеста на системат до първия отвор на EXBAR  , който е отпред ПРИ НАКЛОНЕНА СИ-МА
тук си остав 301 мм</t>
        </r>
      </text>
    </comment>
    <comment ref="C31" authorId="0">
      <text>
        <r>
          <rPr>
            <b/>
            <sz val="14"/>
            <color indexed="81"/>
            <rFont val="Tahoma"/>
            <family val="2"/>
          </rPr>
          <t>5800- LA 12-B</t>
        </r>
      </text>
    </comment>
    <comment ref="D31" authorId="0">
      <text>
        <r>
          <rPr>
            <b/>
            <sz val="14"/>
            <color indexed="81"/>
            <rFont val="Tahoma"/>
            <family val="2"/>
          </rPr>
          <t>5800- SC V F отпред</t>
        </r>
      </text>
    </comment>
    <comment ref="C32" authorId="0">
      <text>
        <r>
          <rPr>
            <b/>
            <sz val="9"/>
            <color indexed="81"/>
            <rFont val="Tahoma"/>
            <family val="2"/>
            <charset val="204"/>
          </rPr>
          <t>Stanislav:</t>
        </r>
        <r>
          <rPr>
            <sz val="9"/>
            <color indexed="81"/>
            <rFont val="Tahoma"/>
            <family val="2"/>
            <charset val="204"/>
          </rPr>
          <t xml:space="preserve">
9200- FRONT ,REAR OF FR SCPF</t>
        </r>
      </text>
    </comment>
    <comment ref="D32" authorId="0">
      <text>
        <r>
          <rPr>
            <b/>
            <sz val="9"/>
            <color indexed="81"/>
            <rFont val="Tahoma"/>
            <family val="2"/>
            <charset val="204"/>
          </rPr>
          <t>Stanislav:</t>
        </r>
        <r>
          <rPr>
            <sz val="9"/>
            <color indexed="81"/>
            <rFont val="Tahoma"/>
            <family val="2"/>
            <charset val="204"/>
          </rPr>
          <t xml:space="preserve">
9200- FRONT ,REAR OF FR SCPF</t>
        </r>
      </text>
    </comment>
  </commentList>
</comments>
</file>

<file path=xl/sharedStrings.xml><?xml version="1.0" encoding="utf-8"?>
<sst xmlns="http://schemas.openxmlformats.org/spreadsheetml/2006/main" count="130" uniqueCount="100">
  <si>
    <t>k</t>
  </si>
  <si>
    <t>b/2</t>
  </si>
  <si>
    <t>sin b/2</t>
  </si>
  <si>
    <t>d</t>
  </si>
  <si>
    <t>2c</t>
  </si>
  <si>
    <t>e=a/2</t>
  </si>
  <si>
    <t>sin(e)</t>
  </si>
  <si>
    <t>c=sin(b/2)*d</t>
  </si>
  <si>
    <t>f=sin(e)*2c</t>
  </si>
  <si>
    <t>g center of  mass -x</t>
  </si>
  <si>
    <t>h=g+f</t>
  </si>
  <si>
    <t>center of mass X</t>
  </si>
  <si>
    <t>a</t>
  </si>
  <si>
    <t>L</t>
  </si>
  <si>
    <t>G</t>
  </si>
  <si>
    <t>kg</t>
  </si>
  <si>
    <t>Fa=((L-a)/L)*G</t>
  </si>
  <si>
    <t>Fb=(a/L)*G</t>
  </si>
  <si>
    <t>front</t>
  </si>
  <si>
    <t>rear</t>
  </si>
  <si>
    <t>1 point-one motor</t>
  </si>
  <si>
    <t>Weight total:</t>
  </si>
  <si>
    <t>L(2motors)=</t>
  </si>
  <si>
    <t>2 motors, kg</t>
  </si>
  <si>
    <t>front motor</t>
  </si>
  <si>
    <t>rear motor</t>
  </si>
  <si>
    <t>A</t>
  </si>
  <si>
    <t>B</t>
  </si>
  <si>
    <t>C</t>
  </si>
  <si>
    <t>D</t>
  </si>
  <si>
    <t>E</t>
  </si>
  <si>
    <t>a - общ ъгъл</t>
  </si>
  <si>
    <t>sin t</t>
  </si>
  <si>
    <t>m= sin t *n(const)</t>
  </si>
  <si>
    <t>sin r</t>
  </si>
  <si>
    <t>p= sin r *q(const)</t>
  </si>
  <si>
    <t>z- център на тежест на боксовете след него спрямо първата колона</t>
  </si>
  <si>
    <t>Fa=((L-A)/L)*G</t>
  </si>
  <si>
    <t>Fb=(A/L)*G</t>
  </si>
  <si>
    <t>L=m+p</t>
  </si>
  <si>
    <t>a при 0 гр.</t>
  </si>
  <si>
    <t>k - safety factor</t>
  </si>
  <si>
    <t>F</t>
  </si>
  <si>
    <t>H</t>
  </si>
  <si>
    <t>I</t>
  </si>
  <si>
    <t>J</t>
  </si>
  <si>
    <t>K</t>
  </si>
  <si>
    <t>M</t>
  </si>
  <si>
    <t>N</t>
  </si>
  <si>
    <t>O</t>
  </si>
  <si>
    <t>b=k+a</t>
  </si>
  <si>
    <t>a(2motors)=a-49</t>
  </si>
  <si>
    <t>center  om mass</t>
  </si>
  <si>
    <t>FR SCPF</t>
  </si>
  <si>
    <t>ОБЩО ТЕГЛО НА СИ-ТА С FR 122</t>
  </si>
  <si>
    <t>ЦЕНТЪР НА ТЕЖЕСТ НА СИСТЕМАТА</t>
  </si>
  <si>
    <t xml:space="preserve">L(2motors) with exbar in front </t>
  </si>
  <si>
    <t>L(2motors) 
with exbar  at the back</t>
  </si>
  <si>
    <t>a(2motors)with 
exbar in front =a+252</t>
  </si>
  <si>
    <t>enter the angle of frame FR SCPF</t>
  </si>
  <si>
    <t xml:space="preserve">g - тегло на боксовете под този </t>
  </si>
  <si>
    <t>A LA 12B =z-J</t>
  </si>
  <si>
    <t>destroying force   LA 12B, kg</t>
  </si>
  <si>
    <t>with EXBAR SC PF at the front</t>
  </si>
  <si>
    <t>with EXBAR SC PF at the back</t>
  </si>
  <si>
    <t>without EXBAR SC PF</t>
  </si>
  <si>
    <t>2 points-one motor
without EXBAR SC PF</t>
  </si>
  <si>
    <t>2 points-one motor
with EXBAR SCPF</t>
  </si>
  <si>
    <t>r= 60.0863516-a</t>
  </si>
  <si>
    <t>P</t>
  </si>
  <si>
    <t>J=x-m</t>
  </si>
  <si>
    <t>x= (SUM Gi*xi)/G</t>
  </si>
  <si>
    <t>with one shackle</t>
  </si>
  <si>
    <t>with two shackles</t>
  </si>
  <si>
    <t>using one shackle</t>
  </si>
  <si>
    <t>front bar</t>
  </si>
  <si>
    <t>rear bar</t>
  </si>
  <si>
    <t>k - safety factor 
of FR SCPF</t>
  </si>
  <si>
    <t>n</t>
  </si>
  <si>
    <t>kn</t>
  </si>
  <si>
    <t>kn-a</t>
  </si>
  <si>
    <t>cos(kn-a)</t>
  </si>
  <si>
    <t>x=cos(kn-a)*n</t>
  </si>
  <si>
    <t>h=x</t>
  </si>
  <si>
    <t>Lx</t>
  </si>
  <si>
    <t>Lo</t>
  </si>
  <si>
    <t>Ao</t>
  </si>
  <si>
    <t>пресмятане на разсоянието между центъра на тежеста спрямо първия отвор за шегел на фрейма</t>
  </si>
  <si>
    <t>max отпред</t>
  </si>
  <si>
    <t>max отзад</t>
  </si>
  <si>
    <t>k- const</t>
  </si>
  <si>
    <t>f-ъгъл</t>
  </si>
  <si>
    <t>cos(f)</t>
  </si>
  <si>
    <t>изчисляване на центъра на тежеста на FR SC PF</t>
  </si>
  <si>
    <t>изчисляване на центъра на тежеста на системата FR  SCPF и SC PF</t>
  </si>
  <si>
    <t>t= 33.64+a</t>
  </si>
  <si>
    <t>SCP-F</t>
  </si>
  <si>
    <t>x=cos(f)*n(const)
n=264.12 за FR SCPF</t>
  </si>
  <si>
    <t>enter the number of cabinets from 1 up to 10</t>
  </si>
  <si>
    <t>Total weight includes: SCP-F, FR SCPF (39 kg), EXBAR SCPF (4.2 kg), Main LS Cables (30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</si>
</sst>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 Narrow"/>
      <family val="2"/>
      <charset val="204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 Narrow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20"/>
      <name val="Arial Narrow"/>
      <family val="2"/>
    </font>
    <font>
      <b/>
      <sz val="12"/>
      <name val="Arial Narrow"/>
      <family val="2"/>
      <charset val="204"/>
    </font>
    <font>
      <b/>
      <sz val="12"/>
      <name val="Arial"/>
      <family val="2"/>
    </font>
    <font>
      <b/>
      <sz val="12"/>
      <color indexed="11"/>
      <name val="Arial"/>
      <family val="2"/>
    </font>
    <font>
      <b/>
      <sz val="12"/>
      <color indexed="57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 Narrow"/>
      <family val="2"/>
    </font>
    <font>
      <sz val="14"/>
      <name val="Arial"/>
      <family val="2"/>
    </font>
    <font>
      <b/>
      <sz val="24"/>
      <name val="Arial Narrow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6"/>
      <name val="Arial Narrow"/>
      <family val="2"/>
    </font>
    <font>
      <sz val="12"/>
      <color indexed="10"/>
      <name val="Arial"/>
      <family val="2"/>
    </font>
    <font>
      <b/>
      <sz val="12"/>
      <color indexed="16"/>
      <name val="Arial"/>
      <family val="2"/>
    </font>
    <font>
      <sz val="10"/>
      <color indexed="10"/>
      <name val="Arial"/>
      <family val="2"/>
    </font>
    <font>
      <b/>
      <sz val="12"/>
      <color indexed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6"/>
      <color indexed="57"/>
      <name val="Arial"/>
      <family val="2"/>
    </font>
    <font>
      <b/>
      <sz val="12"/>
      <name val="Arial Black"/>
      <family val="2"/>
    </font>
    <font>
      <b/>
      <sz val="14"/>
      <color indexed="12"/>
      <name val="Arial"/>
      <family val="2"/>
    </font>
    <font>
      <b/>
      <sz val="14"/>
      <color indexed="57"/>
      <name val="Arial"/>
      <family val="2"/>
    </font>
    <font>
      <b/>
      <sz val="14"/>
      <color indexed="81"/>
      <name val="Tahoma"/>
      <family val="2"/>
    </font>
    <font>
      <b/>
      <sz val="14"/>
      <color indexed="16"/>
      <name val="Arial"/>
      <family val="2"/>
    </font>
    <font>
      <b/>
      <sz val="16"/>
      <color indexed="10"/>
      <name val="Arial"/>
      <family val="2"/>
    </font>
    <font>
      <b/>
      <u/>
      <sz val="16"/>
      <color indexed="57"/>
      <name val="Arial"/>
      <family val="2"/>
    </font>
    <font>
      <b/>
      <u/>
      <sz val="16"/>
      <name val="Arial"/>
      <family val="2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u/>
      <sz val="16"/>
      <color indexed="10"/>
      <name val="Arial"/>
      <family val="2"/>
    </font>
    <font>
      <b/>
      <sz val="14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b/>
      <sz val="16"/>
      <name val="Arial"/>
      <family val="2"/>
      <charset val="204"/>
    </font>
    <font>
      <b/>
      <sz val="14"/>
      <color indexed="17"/>
      <name val="Arial"/>
      <family val="2"/>
    </font>
    <font>
      <b/>
      <sz val="14"/>
      <color indexed="12"/>
      <name val="Arial Narrow"/>
      <family val="2"/>
    </font>
    <font>
      <b/>
      <sz val="14"/>
      <color indexed="53"/>
      <name val="Arial"/>
      <family val="2"/>
    </font>
    <font>
      <b/>
      <sz val="14"/>
      <color indexed="53"/>
      <name val="Arial Narrow"/>
      <family val="2"/>
    </font>
    <font>
      <b/>
      <sz val="14"/>
      <color indexed="11"/>
      <name val="Arial"/>
      <family val="2"/>
    </font>
    <font>
      <b/>
      <sz val="18"/>
      <color theme="0" tint="-4.9989318521683403E-2"/>
      <name val="Arial"/>
      <family val="2"/>
    </font>
    <font>
      <sz val="18"/>
      <name val="Arial"/>
      <family val="2"/>
    </font>
    <font>
      <b/>
      <sz val="18"/>
      <name val="Arial"/>
      <family val="2"/>
      <charset val="204"/>
    </font>
    <font>
      <b/>
      <sz val="16"/>
      <color indexed="9"/>
      <name val="Arial Narrow"/>
      <family val="2"/>
    </font>
    <font>
      <b/>
      <sz val="16"/>
      <color rgb="FFFF0000"/>
      <name val="Arial Narrow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color indexed="17"/>
      <name val="Arial Narrow"/>
      <family val="2"/>
    </font>
    <font>
      <b/>
      <sz val="16"/>
      <color indexed="12"/>
      <name val="Arial Narrow"/>
      <family val="2"/>
    </font>
    <font>
      <b/>
      <sz val="16"/>
      <color indexed="53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lightUp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medium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medium">
        <color auto="1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medium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 style="medium">
        <color auto="1"/>
      </top>
      <bottom style="medium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2" fillId="0" borderId="0"/>
    <xf numFmtId="0" fontId="1" fillId="0" borderId="0"/>
  </cellStyleXfs>
  <cellXfs count="314">
    <xf numFmtId="0" fontId="0" fillId="0" borderId="0" xfId="0"/>
    <xf numFmtId="0" fontId="3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0" fontId="6" fillId="0" borderId="0" xfId="0" applyNumberFormat="1" applyFont="1" applyFill="1" applyBorder="1"/>
    <xf numFmtId="0" fontId="5" fillId="0" borderId="0" xfId="0" applyFont="1" applyFill="1"/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Border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2" fontId="0" fillId="0" borderId="0" xfId="0" applyNumberFormat="1"/>
    <xf numFmtId="2" fontId="13" fillId="0" borderId="0" xfId="0" applyNumberFormat="1" applyFont="1" applyBorder="1"/>
    <xf numFmtId="2" fontId="12" fillId="0" borderId="0" xfId="0" applyNumberFormat="1" applyFont="1" applyAlignment="1">
      <alignment horizontal="center"/>
    </xf>
    <xf numFmtId="0" fontId="0" fillId="0" borderId="10" xfId="0" applyBorder="1"/>
    <xf numFmtId="0" fontId="15" fillId="0" borderId="0" xfId="0" applyNumberFormat="1" applyFont="1" applyFill="1" applyBorder="1"/>
    <xf numFmtId="0" fontId="17" fillId="0" borderId="0" xfId="0" applyFont="1" applyFill="1" applyBorder="1"/>
    <xf numFmtId="49" fontId="5" fillId="0" borderId="0" xfId="0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9" fillId="0" borderId="0" xfId="0" applyFont="1" applyBorder="1"/>
    <xf numFmtId="0" fontId="18" fillId="0" borderId="0" xfId="0" applyFont="1" applyFill="1" applyBorder="1"/>
    <xf numFmtId="0" fontId="5" fillId="0" borderId="0" xfId="0" applyFont="1" applyBorder="1" applyAlignment="1">
      <alignment horizontal="right"/>
    </xf>
    <xf numFmtId="0" fontId="14" fillId="0" borderId="0" xfId="0" applyNumberFormat="1" applyFont="1" applyFill="1" applyBorder="1" applyAlignment="1"/>
    <xf numFmtId="49" fontId="3" fillId="4" borderId="0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23" fillId="0" borderId="0" xfId="0" applyFont="1" applyBorder="1"/>
    <xf numFmtId="0" fontId="24" fillId="0" borderId="0" xfId="0" applyFont="1" applyBorder="1"/>
    <xf numFmtId="0" fontId="28" fillId="0" borderId="0" xfId="0" applyFont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/>
    </xf>
    <xf numFmtId="0" fontId="27" fillId="2" borderId="8" xfId="0" applyFont="1" applyFill="1" applyBorder="1"/>
    <xf numFmtId="0" fontId="28" fillId="0" borderId="8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9" fillId="0" borderId="0" xfId="0" applyFont="1"/>
    <xf numFmtId="0" fontId="3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3" fillId="0" borderId="0" xfId="0" applyFont="1" applyFill="1" applyBorder="1"/>
    <xf numFmtId="0" fontId="0" fillId="0" borderId="13" xfId="0" applyFill="1" applyBorder="1"/>
    <xf numFmtId="0" fontId="24" fillId="0" borderId="0" xfId="0" applyFont="1" applyFill="1" applyBorder="1"/>
    <xf numFmtId="0" fontId="0" fillId="0" borderId="14" xfId="0" applyFill="1" applyBorder="1"/>
    <xf numFmtId="2" fontId="5" fillId="7" borderId="5" xfId="0" applyNumberFormat="1" applyFont="1" applyFill="1" applyBorder="1" applyAlignment="1">
      <alignment horizontal="center"/>
    </xf>
    <xf numFmtId="0" fontId="32" fillId="0" borderId="0" xfId="0" applyFont="1"/>
    <xf numFmtId="0" fontId="31" fillId="0" borderId="0" xfId="0" applyFont="1" applyBorder="1"/>
    <xf numFmtId="0" fontId="32" fillId="0" borderId="0" xfId="0" applyFont="1" applyBorder="1"/>
    <xf numFmtId="0" fontId="7" fillId="0" borderId="0" xfId="0" applyFont="1" applyBorder="1"/>
    <xf numFmtId="0" fontId="5" fillId="10" borderId="8" xfId="0" applyFont="1" applyFill="1" applyBorder="1" applyAlignment="1">
      <alignment horizontal="center" wrapText="1"/>
    </xf>
    <xf numFmtId="0" fontId="7" fillId="0" borderId="8" xfId="0" applyFont="1" applyBorder="1"/>
    <xf numFmtId="0" fontId="33" fillId="0" borderId="0" xfId="0" applyFont="1" applyAlignment="1">
      <alignment horizontal="right"/>
    </xf>
    <xf numFmtId="0" fontId="21" fillId="0" borderId="0" xfId="0" applyFont="1" applyFill="1"/>
    <xf numFmtId="0" fontId="21" fillId="0" borderId="0" xfId="0" applyFont="1" applyBorder="1"/>
    <xf numFmtId="0" fontId="21" fillId="0" borderId="1" xfId="0" applyFont="1" applyBorder="1"/>
    <xf numFmtId="0" fontId="21" fillId="11" borderId="8" xfId="0" applyFont="1" applyFill="1" applyBorder="1"/>
    <xf numFmtId="0" fontId="5" fillId="0" borderId="6" xfId="0" applyFont="1" applyFill="1" applyBorder="1" applyAlignment="1">
      <alignment horizontal="center"/>
    </xf>
    <xf numFmtId="0" fontId="21" fillId="10" borderId="8" xfId="0" applyFont="1" applyFill="1" applyBorder="1"/>
    <xf numFmtId="0" fontId="21" fillId="10" borderId="0" xfId="0" applyFont="1" applyFill="1" applyBorder="1" applyAlignment="1">
      <alignment horizontal="center" wrapText="1"/>
    </xf>
    <xf numFmtId="0" fontId="43" fillId="10" borderId="8" xfId="0" applyFont="1" applyFill="1" applyBorder="1" applyAlignment="1">
      <alignment horizontal="center"/>
    </xf>
    <xf numFmtId="0" fontId="25" fillId="0" borderId="0" xfId="0" applyFont="1" applyFill="1"/>
    <xf numFmtId="0" fontId="5" fillId="2" borderId="15" xfId="0" applyFont="1" applyFill="1" applyBorder="1" applyAlignment="1">
      <alignment horizontal="center"/>
    </xf>
    <xf numFmtId="0" fontId="21" fillId="12" borderId="8" xfId="0" applyFont="1" applyFill="1" applyBorder="1"/>
    <xf numFmtId="0" fontId="7" fillId="12" borderId="8" xfId="0" applyFont="1" applyFill="1" applyBorder="1"/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horizontal="center" wrapText="1"/>
    </xf>
    <xf numFmtId="0" fontId="7" fillId="7" borderId="0" xfId="0" applyFont="1" applyFill="1" applyBorder="1"/>
    <xf numFmtId="0" fontId="7" fillId="2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5" fillId="8" borderId="0" xfId="0" applyFont="1" applyFill="1"/>
    <xf numFmtId="2" fontId="30" fillId="0" borderId="0" xfId="0" applyNumberFormat="1" applyFont="1" applyFill="1" applyAlignment="1">
      <alignment horizontal="center"/>
    </xf>
    <xf numFmtId="0" fontId="33" fillId="10" borderId="8" xfId="0" applyFont="1" applyFill="1" applyBorder="1" applyAlignment="1">
      <alignment horizontal="center"/>
    </xf>
    <xf numFmtId="0" fontId="7" fillId="7" borderId="8" xfId="0" applyFont="1" applyFill="1" applyBorder="1"/>
    <xf numFmtId="0" fontId="7" fillId="12" borderId="0" xfId="0" applyFont="1" applyFill="1" applyBorder="1" applyAlignment="1">
      <alignment horizontal="center" wrapText="1"/>
    </xf>
    <xf numFmtId="0" fontId="39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2" fontId="0" fillId="0" borderId="0" xfId="0" applyNumberFormat="1" applyFill="1" applyBorder="1"/>
    <xf numFmtId="0" fontId="5" fillId="12" borderId="8" xfId="0" applyFont="1" applyFill="1" applyBorder="1"/>
    <xf numFmtId="0" fontId="0" fillId="11" borderId="0" xfId="0" applyFill="1" applyBorder="1"/>
    <xf numFmtId="0" fontId="5" fillId="11" borderId="15" xfId="0" applyFont="1" applyFill="1" applyBorder="1" applyAlignment="1">
      <alignment horizontal="center"/>
    </xf>
    <xf numFmtId="0" fontId="5" fillId="11" borderId="1" xfId="0" applyFont="1" applyFill="1" applyBorder="1" applyAlignment="1"/>
    <xf numFmtId="2" fontId="5" fillId="11" borderId="3" xfId="0" applyNumberFormat="1" applyFont="1" applyFill="1" applyBorder="1" applyAlignment="1"/>
    <xf numFmtId="2" fontId="5" fillId="11" borderId="7" xfId="0" applyNumberFormat="1" applyFont="1" applyFill="1" applyBorder="1" applyAlignment="1"/>
    <xf numFmtId="0" fontId="5" fillId="11" borderId="5" xfId="0" applyFont="1" applyFill="1" applyBorder="1" applyAlignment="1"/>
    <xf numFmtId="0" fontId="5" fillId="11" borderId="6" xfId="0" applyFont="1" applyFill="1" applyBorder="1" applyAlignment="1"/>
    <xf numFmtId="0" fontId="10" fillId="0" borderId="8" xfId="0" applyFont="1" applyFill="1" applyBorder="1" applyAlignment="1">
      <alignment wrapText="1"/>
    </xf>
    <xf numFmtId="0" fontId="0" fillId="11" borderId="8" xfId="0" applyFill="1" applyBorder="1"/>
    <xf numFmtId="0" fontId="5" fillId="0" borderId="8" xfId="0" applyFont="1" applyFill="1" applyBorder="1"/>
    <xf numFmtId="0" fontId="26" fillId="6" borderId="5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 wrapText="1"/>
    </xf>
    <xf numFmtId="0" fontId="36" fillId="0" borderId="0" xfId="0" applyFont="1" applyFill="1"/>
    <xf numFmtId="0" fontId="21" fillId="0" borderId="8" xfId="0" applyFont="1" applyFill="1" applyBorder="1"/>
    <xf numFmtId="0" fontId="21" fillId="0" borderId="8" xfId="0" applyFont="1" applyFill="1" applyBorder="1" applyAlignment="1">
      <alignment horizontal="center" wrapText="1"/>
    </xf>
    <xf numFmtId="0" fontId="38" fillId="11" borderId="8" xfId="0" applyFont="1" applyFill="1" applyBorder="1"/>
    <xf numFmtId="0" fontId="45" fillId="11" borderId="8" xfId="0" applyFont="1" applyFill="1" applyBorder="1" applyAlignment="1">
      <alignment horizontal="right"/>
    </xf>
    <xf numFmtId="0" fontId="44" fillId="11" borderId="8" xfId="0" applyFont="1" applyFill="1" applyBorder="1" applyAlignment="1">
      <alignment wrapText="1"/>
    </xf>
    <xf numFmtId="0" fontId="44" fillId="11" borderId="8" xfId="0" applyFont="1" applyFill="1" applyBorder="1" applyAlignment="1">
      <alignment horizontal="center"/>
    </xf>
    <xf numFmtId="0" fontId="44" fillId="11" borderId="8" xfId="0" applyFont="1" applyFill="1" applyBorder="1" applyAlignment="1">
      <alignment horizontal="right"/>
    </xf>
    <xf numFmtId="0" fontId="47" fillId="11" borderId="8" xfId="0" applyFont="1" applyFill="1" applyBorder="1"/>
    <xf numFmtId="0" fontId="5" fillId="11" borderId="0" xfId="0" applyFont="1" applyFill="1"/>
    <xf numFmtId="0" fontId="11" fillId="11" borderId="8" xfId="0" applyNumberFormat="1" applyFont="1" applyFill="1" applyBorder="1" applyAlignment="1">
      <alignment horizontal="center"/>
    </xf>
    <xf numFmtId="0" fontId="50" fillId="0" borderId="0" xfId="0" applyFont="1" applyBorder="1" applyAlignment="1">
      <alignment horizontal="left"/>
    </xf>
    <xf numFmtId="0" fontId="51" fillId="0" borderId="0" xfId="0" applyFont="1" applyBorder="1"/>
    <xf numFmtId="0" fontId="51" fillId="0" borderId="0" xfId="0" applyFont="1"/>
    <xf numFmtId="0" fontId="21" fillId="12" borderId="17" xfId="0" applyFont="1" applyFill="1" applyBorder="1"/>
    <xf numFmtId="0" fontId="21" fillId="1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12" borderId="12" xfId="0" applyFont="1" applyFill="1" applyBorder="1"/>
    <xf numFmtId="0" fontId="28" fillId="10" borderId="8" xfId="0" applyFont="1" applyFill="1" applyBorder="1" applyAlignment="1">
      <alignment horizontal="center"/>
    </xf>
    <xf numFmtId="0" fontId="31" fillId="0" borderId="0" xfId="0" applyFont="1" applyFill="1" applyBorder="1"/>
    <xf numFmtId="0" fontId="53" fillId="11" borderId="8" xfId="0" applyFont="1" applyFill="1" applyBorder="1" applyAlignment="1">
      <alignment horizontal="center"/>
    </xf>
    <xf numFmtId="0" fontId="52" fillId="11" borderId="8" xfId="0" applyFont="1" applyFill="1" applyBorder="1"/>
    <xf numFmtId="0" fontId="52" fillId="11" borderId="8" xfId="0" applyFont="1" applyFill="1" applyBorder="1" applyAlignment="1">
      <alignment horizontal="center"/>
    </xf>
    <xf numFmtId="0" fontId="15" fillId="11" borderId="8" xfId="0" applyNumberFormat="1" applyFont="1" applyFill="1" applyBorder="1"/>
    <xf numFmtId="0" fontId="5" fillId="11" borderId="8" xfId="0" applyFont="1" applyFill="1" applyBorder="1"/>
    <xf numFmtId="0" fontId="7" fillId="11" borderId="8" xfId="0" applyFont="1" applyFill="1" applyBorder="1"/>
    <xf numFmtId="0" fontId="0" fillId="11" borderId="8" xfId="0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11" borderId="8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wrapText="1"/>
    </xf>
    <xf numFmtId="0" fontId="11" fillId="3" borderId="18" xfId="0" applyNumberFormat="1" applyFont="1" applyFill="1" applyBorder="1" applyAlignment="1">
      <alignment horizontal="center"/>
    </xf>
    <xf numFmtId="2" fontId="30" fillId="13" borderId="5" xfId="0" applyNumberFormat="1" applyFont="1" applyFill="1" applyBorder="1" applyAlignment="1">
      <alignment horizontal="center"/>
    </xf>
    <xf numFmtId="0" fontId="4" fillId="5" borderId="5" xfId="0" applyFont="1" applyFill="1" applyBorder="1" applyAlignment="1" applyProtection="1">
      <alignment horizontal="center"/>
      <protection locked="0"/>
    </xf>
    <xf numFmtId="0" fontId="5" fillId="15" borderId="7" xfId="0" applyFont="1" applyFill="1" applyBorder="1" applyAlignment="1">
      <alignment horizontal="center"/>
    </xf>
    <xf numFmtId="0" fontId="7" fillId="15" borderId="8" xfId="0" applyFont="1" applyFill="1" applyBorder="1"/>
    <xf numFmtId="49" fontId="25" fillId="11" borderId="0" xfId="0" applyNumberFormat="1" applyFont="1" applyFill="1" applyBorder="1" applyAlignment="1">
      <alignment horizontal="center" wrapText="1"/>
    </xf>
    <xf numFmtId="0" fontId="21" fillId="11" borderId="2" xfId="0" applyFont="1" applyFill="1" applyBorder="1"/>
    <xf numFmtId="49" fontId="25" fillId="11" borderId="21" xfId="0" applyNumberFormat="1" applyFont="1" applyFill="1" applyBorder="1" applyAlignment="1">
      <alignment horizontal="center" wrapText="1"/>
    </xf>
    <xf numFmtId="0" fontId="4" fillId="11" borderId="11" xfId="0" applyFont="1" applyFill="1" applyBorder="1" applyAlignment="1">
      <alignment horizontal="center"/>
    </xf>
    <xf numFmtId="0" fontId="5" fillId="11" borderId="0" xfId="0" applyFont="1" applyFill="1" applyBorder="1" applyAlignment="1"/>
    <xf numFmtId="0" fontId="4" fillId="11" borderId="22" xfId="0" applyFont="1" applyFill="1" applyBorder="1" applyAlignment="1" applyProtection="1">
      <alignment horizontal="center" vertical="center"/>
      <protection locked="0"/>
    </xf>
    <xf numFmtId="0" fontId="5" fillId="11" borderId="7" xfId="0" applyFont="1" applyFill="1" applyBorder="1" applyAlignment="1"/>
    <xf numFmtId="0" fontId="0" fillId="11" borderId="23" xfId="0" applyFill="1" applyBorder="1"/>
    <xf numFmtId="0" fontId="0" fillId="11" borderId="26" xfId="0" applyFill="1" applyBorder="1"/>
    <xf numFmtId="2" fontId="7" fillId="11" borderId="25" xfId="0" applyNumberFormat="1" applyFont="1" applyFill="1" applyBorder="1" applyAlignment="1" applyProtection="1">
      <alignment horizontal="center"/>
      <protection locked="0"/>
    </xf>
    <xf numFmtId="0" fontId="21" fillId="11" borderId="11" xfId="0" applyFont="1" applyFill="1" applyBorder="1"/>
    <xf numFmtId="0" fontId="31" fillId="11" borderId="11" xfId="0" applyFont="1" applyFill="1" applyBorder="1"/>
    <xf numFmtId="0" fontId="5" fillId="16" borderId="8" xfId="0" applyFont="1" applyFill="1" applyBorder="1" applyAlignment="1">
      <alignment wrapText="1"/>
    </xf>
    <xf numFmtId="0" fontId="25" fillId="16" borderId="8" xfId="0" applyFont="1" applyFill="1" applyBorder="1"/>
    <xf numFmtId="0" fontId="46" fillId="16" borderId="8" xfId="0" applyFont="1" applyFill="1" applyBorder="1"/>
    <xf numFmtId="0" fontId="0" fillId="16" borderId="8" xfId="0" applyFill="1" applyBorder="1"/>
    <xf numFmtId="0" fontId="36" fillId="16" borderId="8" xfId="0" applyFont="1" applyFill="1" applyBorder="1"/>
    <xf numFmtId="0" fontId="10" fillId="16" borderId="8" xfId="0" applyFont="1" applyFill="1" applyBorder="1" applyAlignment="1">
      <alignment wrapText="1"/>
    </xf>
    <xf numFmtId="0" fontId="51" fillId="17" borderId="0" xfId="0" applyFont="1" applyFill="1" applyAlignment="1">
      <alignment horizontal="center"/>
    </xf>
    <xf numFmtId="0" fontId="56" fillId="17" borderId="8" xfId="0" applyFont="1" applyFill="1" applyBorder="1" applyAlignment="1">
      <alignment horizontal="center"/>
    </xf>
    <xf numFmtId="0" fontId="51" fillId="17" borderId="8" xfId="0" applyFont="1" applyFill="1" applyBorder="1" applyAlignment="1">
      <alignment horizontal="center"/>
    </xf>
    <xf numFmtId="49" fontId="5" fillId="17" borderId="0" xfId="0" applyNumberFormat="1" applyFont="1" applyFill="1" applyBorder="1" applyAlignment="1">
      <alignment horizontal="center" wrapText="1"/>
    </xf>
    <xf numFmtId="0" fontId="0" fillId="17" borderId="8" xfId="0" applyFill="1" applyBorder="1"/>
    <xf numFmtId="0" fontId="5" fillId="17" borderId="8" xfId="0" applyFont="1" applyFill="1" applyBorder="1"/>
    <xf numFmtId="0" fontId="51" fillId="17" borderId="8" xfId="0" applyFont="1" applyFill="1" applyBorder="1" applyAlignment="1">
      <alignment horizontal="left"/>
    </xf>
    <xf numFmtId="0" fontId="7" fillId="17" borderId="8" xfId="0" applyFont="1" applyFill="1" applyBorder="1"/>
    <xf numFmtId="0" fontId="26" fillId="6" borderId="5" xfId="0" applyNumberFormat="1" applyFont="1" applyFill="1" applyBorder="1" applyAlignment="1">
      <alignment horizontal="center" vertical="center" wrapText="1"/>
    </xf>
    <xf numFmtId="0" fontId="57" fillId="0" borderId="17" xfId="0" applyFont="1" applyBorder="1"/>
    <xf numFmtId="0" fontId="57" fillId="0" borderId="1" xfId="0" applyFont="1" applyBorder="1" applyAlignment="1">
      <alignment horizontal="left"/>
    </xf>
    <xf numFmtId="0" fontId="57" fillId="0" borderId="1" xfId="0" applyFont="1" applyBorder="1"/>
    <xf numFmtId="0" fontId="57" fillId="0" borderId="16" xfId="0" applyFont="1" applyBorder="1" applyAlignment="1">
      <alignment horizontal="right"/>
    </xf>
    <xf numFmtId="0" fontId="57" fillId="0" borderId="12" xfId="0" applyFont="1" applyBorder="1"/>
    <xf numFmtId="0" fontId="40" fillId="0" borderId="9" xfId="0" applyFont="1" applyBorder="1"/>
    <xf numFmtId="0" fontId="40" fillId="9" borderId="9" xfId="0" applyFont="1" applyFill="1" applyBorder="1"/>
    <xf numFmtId="0" fontId="40" fillId="9" borderId="1" xfId="0" applyFont="1" applyFill="1" applyBorder="1"/>
    <xf numFmtId="0" fontId="40" fillId="9" borderId="16" xfId="0" applyFont="1" applyFill="1" applyBorder="1"/>
    <xf numFmtId="0" fontId="40" fillId="0" borderId="1" xfId="0" applyFont="1" applyBorder="1"/>
    <xf numFmtId="0" fontId="40" fillId="0" borderId="16" xfId="0" applyFont="1" applyBorder="1" applyAlignment="1">
      <alignment horizontal="right"/>
    </xf>
    <xf numFmtId="0" fontId="40" fillId="0" borderId="6" xfId="0" applyFont="1" applyBorder="1" applyAlignment="1">
      <alignment wrapText="1"/>
    </xf>
    <xf numFmtId="0" fontId="40" fillId="9" borderId="6" xfId="0" applyFont="1" applyFill="1" applyBorder="1"/>
    <xf numFmtId="0" fontId="40" fillId="9" borderId="2" xfId="0" applyFont="1" applyFill="1" applyBorder="1"/>
    <xf numFmtId="0" fontId="40" fillId="9" borderId="3" xfId="0" applyFont="1" applyFill="1" applyBorder="1"/>
    <xf numFmtId="1" fontId="21" fillId="0" borderId="0" xfId="0" applyNumberFormat="1" applyFont="1"/>
    <xf numFmtId="0" fontId="31" fillId="12" borderId="7" xfId="0" applyFont="1" applyFill="1" applyBorder="1"/>
    <xf numFmtId="0" fontId="31" fillId="12" borderId="11" xfId="0" applyFont="1" applyFill="1" applyBorder="1"/>
    <xf numFmtId="0" fontId="21" fillId="12" borderId="11" xfId="0" applyFont="1" applyFill="1" applyBorder="1"/>
    <xf numFmtId="0" fontId="31" fillId="12" borderId="15" xfId="0" applyFont="1" applyFill="1" applyBorder="1"/>
    <xf numFmtId="0" fontId="31" fillId="12" borderId="2" xfId="0" applyFont="1" applyFill="1" applyBorder="1"/>
    <xf numFmtId="0" fontId="21" fillId="12" borderId="2" xfId="0" applyFont="1" applyFill="1" applyBorder="1"/>
    <xf numFmtId="0" fontId="31" fillId="12" borderId="3" xfId="0" applyFont="1" applyFill="1" applyBorder="1"/>
    <xf numFmtId="0" fontId="31" fillId="12" borderId="6" xfId="0" applyFont="1" applyFill="1" applyBorder="1"/>
    <xf numFmtId="0" fontId="31" fillId="11" borderId="7" xfId="0" applyFont="1" applyFill="1" applyBorder="1"/>
    <xf numFmtId="0" fontId="31" fillId="11" borderId="2" xfId="0" applyFont="1" applyFill="1" applyBorder="1"/>
    <xf numFmtId="0" fontId="31" fillId="11" borderId="3" xfId="0" applyFont="1" applyFill="1" applyBorder="1"/>
    <xf numFmtId="0" fontId="31" fillId="11" borderId="15" xfId="0" applyFont="1" applyFill="1" applyBorder="1"/>
    <xf numFmtId="0" fontId="31" fillId="11" borderId="6" xfId="0" applyFont="1" applyFill="1" applyBorder="1"/>
    <xf numFmtId="0" fontId="41" fillId="0" borderId="0" xfId="0" applyFont="1" applyFill="1" applyBorder="1"/>
    <xf numFmtId="0" fontId="31" fillId="0" borderId="7" xfId="0" applyFont="1" applyBorder="1" applyAlignment="1">
      <alignment wrapText="1"/>
    </xf>
    <xf numFmtId="0" fontId="41" fillId="0" borderId="7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0" xfId="0" applyFont="1" applyBorder="1"/>
    <xf numFmtId="0" fontId="59" fillId="0" borderId="9" xfId="0" applyFont="1" applyBorder="1"/>
    <xf numFmtId="0" fontId="59" fillId="0" borderId="1" xfId="0" applyFont="1" applyBorder="1"/>
    <xf numFmtId="0" fontId="59" fillId="0" borderId="16" xfId="0" applyFont="1" applyBorder="1" applyAlignment="1">
      <alignment horizontal="right"/>
    </xf>
    <xf numFmtId="0" fontId="59" fillId="0" borderId="0" xfId="0" applyFont="1" applyBorder="1"/>
    <xf numFmtId="0" fontId="59" fillId="0" borderId="6" xfId="0" applyFont="1" applyBorder="1"/>
    <xf numFmtId="0" fontId="59" fillId="0" borderId="2" xfId="0" applyFont="1" applyBorder="1"/>
    <xf numFmtId="1" fontId="60" fillId="0" borderId="0" xfId="0" applyNumberFormat="1" applyFont="1" applyBorder="1" applyAlignment="1"/>
    <xf numFmtId="0" fontId="59" fillId="11" borderId="11" xfId="0" applyFont="1" applyFill="1" applyBorder="1"/>
    <xf numFmtId="0" fontId="59" fillId="11" borderId="2" xfId="0" applyFont="1" applyFill="1" applyBorder="1"/>
    <xf numFmtId="0" fontId="31" fillId="0" borderId="5" xfId="0" applyFont="1" applyBorder="1" applyAlignment="1">
      <alignment wrapText="1"/>
    </xf>
    <xf numFmtId="0" fontId="40" fillId="9" borderId="11" xfId="0" applyFont="1" applyFill="1" applyBorder="1"/>
    <xf numFmtId="1" fontId="58" fillId="9" borderId="11" xfId="0" applyNumberFormat="1" applyFont="1" applyFill="1" applyBorder="1" applyAlignment="1"/>
    <xf numFmtId="0" fontId="31" fillId="0" borderId="0" xfId="0" applyFont="1" applyBorder="1" applyAlignment="1">
      <alignment wrapText="1"/>
    </xf>
    <xf numFmtId="1" fontId="58" fillId="0" borderId="0" xfId="0" applyNumberFormat="1" applyFont="1" applyBorder="1" applyAlignment="1"/>
    <xf numFmtId="0" fontId="31" fillId="0" borderId="7" xfId="0" applyFont="1" applyBorder="1"/>
    <xf numFmtId="0" fontId="57" fillId="0" borderId="0" xfId="0" applyFont="1" applyBorder="1" applyAlignment="1">
      <alignment horizontal="center"/>
    </xf>
    <xf numFmtId="0" fontId="40" fillId="0" borderId="9" xfId="0" applyFont="1" applyBorder="1" applyAlignment="1">
      <alignment horizontal="left"/>
    </xf>
    <xf numFmtId="0" fontId="40" fillId="0" borderId="10" xfId="0" applyFont="1" applyBorder="1"/>
    <xf numFmtId="0" fontId="40" fillId="9" borderId="10" xfId="0" applyFont="1" applyFill="1" applyBorder="1"/>
    <xf numFmtId="0" fontId="40" fillId="9" borderId="0" xfId="0" applyFont="1" applyFill="1" applyBorder="1"/>
    <xf numFmtId="0" fontId="40" fillId="9" borderId="4" xfId="0" applyFont="1" applyFill="1" applyBorder="1"/>
    <xf numFmtId="0" fontId="40" fillId="0" borderId="10" xfId="0" applyFont="1" applyBorder="1" applyAlignment="1">
      <alignment horizontal="left"/>
    </xf>
    <xf numFmtId="0" fontId="40" fillId="0" borderId="4" xfId="0" applyFont="1" applyBorder="1" applyAlignment="1">
      <alignment horizontal="right"/>
    </xf>
    <xf numFmtId="0" fontId="40" fillId="0" borderId="2" xfId="0" applyFont="1" applyBorder="1" applyAlignment="1">
      <alignment horizontal="center"/>
    </xf>
    <xf numFmtId="0" fontId="31" fillId="12" borderId="9" xfId="0" applyFont="1" applyFill="1" applyBorder="1"/>
    <xf numFmtId="0" fontId="21" fillId="12" borderId="1" xfId="0" applyFont="1" applyFill="1" applyBorder="1"/>
    <xf numFmtId="0" fontId="31" fillId="12" borderId="1" xfId="0" applyFont="1" applyFill="1" applyBorder="1"/>
    <xf numFmtId="0" fontId="31" fillId="12" borderId="16" xfId="0" applyFont="1" applyFill="1" applyBorder="1"/>
    <xf numFmtId="0" fontId="59" fillId="0" borderId="9" xfId="0" applyFont="1" applyBorder="1" applyAlignment="1">
      <alignment horizontal="left"/>
    </xf>
    <xf numFmtId="0" fontId="59" fillId="0" borderId="2" xfId="0" applyFont="1" applyBorder="1" applyAlignment="1">
      <alignment horizontal="center"/>
    </xf>
    <xf numFmtId="0" fontId="61" fillId="14" borderId="9" xfId="0" applyFont="1" applyFill="1" applyBorder="1" applyAlignment="1">
      <alignment horizontal="center"/>
    </xf>
    <xf numFmtId="0" fontId="61" fillId="14" borderId="1" xfId="0" applyFont="1" applyFill="1" applyBorder="1" applyAlignment="1">
      <alignment horizontal="center"/>
    </xf>
    <xf numFmtId="0" fontId="61" fillId="14" borderId="16" xfId="0" applyFont="1" applyFill="1" applyBorder="1" applyAlignment="1">
      <alignment horizontal="center"/>
    </xf>
    <xf numFmtId="0" fontId="61" fillId="14" borderId="6" xfId="0" applyFont="1" applyFill="1" applyBorder="1" applyAlignment="1">
      <alignment horizontal="center"/>
    </xf>
    <xf numFmtId="0" fontId="61" fillId="14" borderId="2" xfId="0" applyFont="1" applyFill="1" applyBorder="1" applyAlignment="1">
      <alignment horizontal="center"/>
    </xf>
    <xf numFmtId="0" fontId="61" fillId="14" borderId="3" xfId="0" applyFont="1" applyFill="1" applyBorder="1" applyAlignment="1">
      <alignment horizontal="center"/>
    </xf>
    <xf numFmtId="49" fontId="25" fillId="11" borderId="15" xfId="0" applyNumberFormat="1" applyFont="1" applyFill="1" applyBorder="1" applyAlignment="1">
      <alignment horizontal="center" wrapText="1"/>
    </xf>
    <xf numFmtId="0" fontId="31" fillId="0" borderId="0" xfId="0" applyFont="1" applyBorder="1" applyAlignment="1">
      <alignment horizontal="right"/>
    </xf>
    <xf numFmtId="49" fontId="31" fillId="15" borderId="0" xfId="0" applyNumberFormat="1" applyFont="1" applyFill="1" applyBorder="1" applyAlignment="1">
      <alignment horizontal="center" wrapText="1"/>
    </xf>
    <xf numFmtId="1" fontId="31" fillId="0" borderId="0" xfId="0" applyNumberFormat="1" applyFont="1" applyBorder="1" applyAlignment="1">
      <alignment horizontal="center"/>
    </xf>
    <xf numFmtId="0" fontId="62" fillId="18" borderId="7" xfId="0" applyFont="1" applyFill="1" applyBorder="1" applyAlignment="1">
      <alignment horizontal="center"/>
    </xf>
    <xf numFmtId="0" fontId="62" fillId="18" borderId="11" xfId="0" applyFont="1" applyFill="1" applyBorder="1" applyAlignment="1">
      <alignment horizontal="center"/>
    </xf>
    <xf numFmtId="0" fontId="62" fillId="18" borderId="15" xfId="0" applyFont="1" applyFill="1" applyBorder="1" applyAlignment="1">
      <alignment horizontal="center"/>
    </xf>
    <xf numFmtId="0" fontId="63" fillId="11" borderId="8" xfId="2" applyFont="1" applyFill="1" applyBorder="1" applyProtection="1"/>
    <xf numFmtId="2" fontId="63" fillId="11" borderId="8" xfId="2" applyNumberFormat="1" applyFont="1" applyFill="1" applyBorder="1" applyProtection="1"/>
    <xf numFmtId="0" fontId="63" fillId="11" borderId="19" xfId="2" applyFont="1" applyFill="1" applyBorder="1" applyProtection="1"/>
    <xf numFmtId="2" fontId="64" fillId="11" borderId="8" xfId="2" applyNumberFormat="1" applyFont="1" applyFill="1" applyBorder="1" applyProtection="1"/>
    <xf numFmtId="0" fontId="54" fillId="0" borderId="28" xfId="0" applyNumberFormat="1" applyFont="1" applyFill="1" applyBorder="1" applyAlignment="1">
      <alignment horizontal="center"/>
    </xf>
    <xf numFmtId="0" fontId="55" fillId="0" borderId="28" xfId="0" applyNumberFormat="1" applyFont="1" applyBorder="1"/>
    <xf numFmtId="0" fontId="22" fillId="3" borderId="28" xfId="2" applyNumberFormat="1" applyFont="1" applyFill="1" applyBorder="1" applyAlignment="1">
      <alignment horizontal="center" vertical="center"/>
    </xf>
    <xf numFmtId="0" fontId="0" fillId="0" borderId="28" xfId="0" applyNumberFormat="1" applyBorder="1"/>
    <xf numFmtId="0" fontId="21" fillId="0" borderId="28" xfId="0" applyNumberFormat="1" applyFont="1" applyBorder="1"/>
    <xf numFmtId="0" fontId="21" fillId="0" borderId="28" xfId="0" applyNumberFormat="1" applyFont="1" applyFill="1" applyBorder="1"/>
    <xf numFmtId="2" fontId="40" fillId="7" borderId="28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 applyProtection="1"/>
    <xf numFmtId="0" fontId="65" fillId="0" borderId="8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65" fillId="0" borderId="0" xfId="0" applyNumberFormat="1" applyFont="1" applyFill="1" applyBorder="1" applyAlignment="1" applyProtection="1"/>
    <xf numFmtId="0" fontId="14" fillId="0" borderId="20" xfId="0" applyNumberFormat="1" applyFont="1" applyFill="1" applyBorder="1" applyAlignment="1" applyProtection="1">
      <alignment wrapText="1"/>
    </xf>
    <xf numFmtId="0" fontId="11" fillId="12" borderId="8" xfId="0" applyNumberFormat="1" applyFont="1" applyFill="1" applyBorder="1" applyAlignment="1" applyProtection="1"/>
    <xf numFmtId="0" fontId="26" fillId="0" borderId="8" xfId="0" applyNumberFormat="1" applyFont="1" applyFill="1" applyBorder="1" applyAlignment="1" applyProtection="1"/>
    <xf numFmtId="0" fontId="26" fillId="0" borderId="8" xfId="0" applyNumberFormat="1" applyFont="1" applyFill="1" applyBorder="1" applyAlignment="1" applyProtection="1">
      <alignment wrapText="1"/>
    </xf>
    <xf numFmtId="0" fontId="66" fillId="0" borderId="33" xfId="0" applyNumberFormat="1" applyFont="1" applyFill="1" applyBorder="1" applyAlignment="1" applyProtection="1"/>
    <xf numFmtId="0" fontId="36" fillId="0" borderId="8" xfId="0" applyFont="1" applyFill="1" applyBorder="1" applyProtection="1"/>
    <xf numFmtId="164" fontId="56" fillId="0" borderId="8" xfId="0" applyNumberFormat="1" applyFont="1" applyFill="1" applyBorder="1" applyAlignment="1" applyProtection="1">
      <alignment horizontal="center"/>
    </xf>
    <xf numFmtId="0" fontId="66" fillId="0" borderId="5" xfId="0" applyNumberFormat="1" applyFont="1" applyFill="1" applyBorder="1" applyAlignment="1" applyProtection="1">
      <alignment horizontal="left"/>
    </xf>
    <xf numFmtId="49" fontId="5" fillId="11" borderId="24" xfId="0" applyNumberFormat="1" applyFont="1" applyFill="1" applyBorder="1" applyAlignment="1">
      <alignment horizontal="center" wrapText="1"/>
    </xf>
    <xf numFmtId="0" fontId="40" fillId="0" borderId="28" xfId="0" applyNumberFormat="1" applyFont="1" applyFill="1" applyBorder="1" applyAlignment="1">
      <alignment horizontal="center"/>
    </xf>
    <xf numFmtId="0" fontId="40" fillId="7" borderId="28" xfId="0" applyNumberFormat="1" applyFont="1" applyFill="1" applyBorder="1" applyAlignment="1">
      <alignment horizontal="center"/>
    </xf>
    <xf numFmtId="2" fontId="7" fillId="11" borderId="25" xfId="0" applyNumberFormat="1" applyFont="1" applyFill="1" applyBorder="1" applyAlignment="1" applyProtection="1">
      <alignment horizontal="center"/>
    </xf>
    <xf numFmtId="0" fontId="68" fillId="0" borderId="7" xfId="0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11" xfId="0" applyFont="1" applyFill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1" fontId="70" fillId="0" borderId="2" xfId="0" applyNumberFormat="1" applyFont="1" applyBorder="1" applyAlignment="1">
      <alignment horizontal="right"/>
    </xf>
    <xf numFmtId="1" fontId="70" fillId="0" borderId="3" xfId="0" applyNumberFormat="1" applyFont="1" applyBorder="1" applyAlignment="1">
      <alignment horizontal="right"/>
    </xf>
    <xf numFmtId="1" fontId="25" fillId="0" borderId="2" xfId="0" applyNumberFormat="1" applyFont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wrapText="1"/>
    </xf>
    <xf numFmtId="49" fontId="25" fillId="5" borderId="12" xfId="0" applyNumberFormat="1" applyFont="1" applyFill="1" applyBorder="1" applyAlignment="1">
      <alignment horizontal="center" wrapText="1"/>
    </xf>
    <xf numFmtId="0" fontId="55" fillId="0" borderId="27" xfId="0" applyNumberFormat="1" applyFont="1" applyBorder="1" applyAlignment="1">
      <alignment horizontal="center"/>
    </xf>
    <xf numFmtId="0" fontId="55" fillId="0" borderId="32" xfId="0" applyNumberFormat="1" applyFont="1" applyBorder="1" applyAlignment="1">
      <alignment horizontal="center"/>
    </xf>
    <xf numFmtId="1" fontId="69" fillId="0" borderId="6" xfId="0" applyNumberFormat="1" applyFont="1" applyBorder="1" applyAlignment="1">
      <alignment horizontal="left"/>
    </xf>
    <xf numFmtId="1" fontId="69" fillId="0" borderId="2" xfId="0" applyNumberFormat="1" applyFont="1" applyBorder="1" applyAlignment="1">
      <alignment horizontal="left"/>
    </xf>
    <xf numFmtId="0" fontId="31" fillId="0" borderId="0" xfId="0" applyFont="1" applyBorder="1" applyAlignment="1">
      <alignment horizontal="right"/>
    </xf>
    <xf numFmtId="0" fontId="40" fillId="9" borderId="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16" xfId="0" applyFont="1" applyFill="1" applyBorder="1" applyAlignment="1">
      <alignment horizontal="center"/>
    </xf>
    <xf numFmtId="0" fontId="40" fillId="9" borderId="6" xfId="0" applyFont="1" applyFill="1" applyBorder="1" applyAlignment="1">
      <alignment horizontal="center"/>
    </xf>
    <xf numFmtId="0" fontId="40" fillId="9" borderId="2" xfId="0" applyFont="1" applyFill="1" applyBorder="1" applyAlignment="1">
      <alignment horizontal="center"/>
    </xf>
    <xf numFmtId="0" fontId="40" fillId="9" borderId="3" xfId="0" applyFont="1" applyFill="1" applyBorder="1" applyAlignment="1">
      <alignment horizontal="center"/>
    </xf>
    <xf numFmtId="0" fontId="37" fillId="7" borderId="28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/>
    </xf>
    <xf numFmtId="0" fontId="5" fillId="0" borderId="30" xfId="0" applyNumberFormat="1" applyFont="1" applyFill="1" applyBorder="1" applyAlignment="1">
      <alignment horizontal="center"/>
    </xf>
    <xf numFmtId="0" fontId="5" fillId="0" borderId="31" xfId="0" applyNumberFormat="1" applyFont="1" applyFill="1" applyBorder="1" applyAlignment="1">
      <alignment horizontal="center"/>
    </xf>
    <xf numFmtId="1" fontId="69" fillId="0" borderId="2" xfId="0" applyNumberFormat="1" applyFont="1" applyBorder="1" applyAlignment="1">
      <alignment horizontal="right"/>
    </xf>
    <xf numFmtId="1" fontId="69" fillId="0" borderId="3" xfId="0" applyNumberFormat="1" applyFont="1" applyBorder="1" applyAlignment="1">
      <alignment horizontal="right"/>
    </xf>
    <xf numFmtId="1" fontId="70" fillId="0" borderId="6" xfId="0" applyNumberFormat="1" applyFont="1" applyBorder="1" applyAlignment="1">
      <alignment horizontal="left"/>
    </xf>
    <xf numFmtId="1" fontId="70" fillId="0" borderId="2" xfId="0" applyNumberFormat="1" applyFont="1" applyBorder="1" applyAlignment="1">
      <alignment horizontal="left"/>
    </xf>
    <xf numFmtId="1" fontId="71" fillId="0" borderId="6" xfId="0" applyNumberFormat="1" applyFont="1" applyBorder="1" applyAlignment="1">
      <alignment horizontal="left"/>
    </xf>
    <xf numFmtId="1" fontId="71" fillId="0" borderId="2" xfId="0" applyNumberFormat="1" applyFont="1" applyBorder="1" applyAlignment="1">
      <alignment horizontal="left"/>
    </xf>
    <xf numFmtId="1" fontId="71" fillId="0" borderId="2" xfId="0" applyNumberFormat="1" applyFont="1" applyBorder="1" applyAlignment="1">
      <alignment horizontal="right"/>
    </xf>
    <xf numFmtId="1" fontId="71" fillId="0" borderId="3" xfId="0" applyNumberFormat="1" applyFont="1" applyBorder="1" applyAlignment="1">
      <alignment horizontal="right"/>
    </xf>
    <xf numFmtId="2" fontId="30" fillId="13" borderId="9" xfId="0" applyNumberFormat="1" applyFont="1" applyFill="1" applyBorder="1" applyAlignment="1">
      <alignment horizontal="center"/>
    </xf>
    <xf numFmtId="2" fontId="30" fillId="13" borderId="16" xfId="0" applyNumberFormat="1" applyFont="1" applyFill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9" borderId="11" xfId="0" applyFont="1" applyFill="1" applyBorder="1" applyAlignment="1">
      <alignment horizontal="center"/>
    </xf>
    <xf numFmtId="0" fontId="40" fillId="9" borderId="15" xfId="0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right"/>
    </xf>
    <xf numFmtId="49" fontId="67" fillId="11" borderId="7" xfId="0" applyNumberFormat="1" applyFont="1" applyFill="1" applyBorder="1" applyAlignment="1">
      <alignment horizontal="center" vertical="center" wrapText="1"/>
    </xf>
    <xf numFmtId="49" fontId="67" fillId="11" borderId="15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34">
    <dxf>
      <fill>
        <patternFill>
          <bgColor indexed="10"/>
        </patternFill>
      </fill>
    </dxf>
    <dxf>
      <font>
        <color theme="0" tint="-0.14996795556505021"/>
      </font>
      <fill>
        <patternFill>
          <fgColor theme="0" tint="-4.9989318521683403E-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color theme="0" tint="-0.14996795556505021"/>
      </font>
      <fill>
        <patternFill>
          <fgColor theme="0" tint="-4.9989318521683403E-2"/>
          <bgColor theme="0" tint="-0.14996795556505021"/>
        </patternFill>
      </fill>
    </dxf>
    <dxf>
      <font>
        <b/>
        <i val="0"/>
        <color rgb="FF00B050"/>
      </font>
    </dxf>
    <dxf>
      <fill>
        <patternFill patternType="none">
          <bgColor auto="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lor rgb="FFC00000"/>
      </font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color theme="0" tint="-0.499984740745262"/>
      </font>
      <fill>
        <patternFill>
          <bgColor theme="0" tint="-0.3499862666707357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theme="0" tint="-4.9989318521683403E-2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ill>
        <patternFill>
          <bgColor indexed="29"/>
        </patternFill>
      </fill>
    </dxf>
  </dxfs>
  <tableStyles count="0" defaultTableStyle="TableStyleMedium9" defaultPivotStyle="PivotStyleLight16"/>
  <colors>
    <mruColors>
      <color rgb="FFFFFF99"/>
      <color rgb="FF0066FF"/>
      <color rgb="FFFFFFCC"/>
      <color rgb="FFFF99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45</xdr:row>
      <xdr:rowOff>285751</xdr:rowOff>
    </xdr:from>
    <xdr:to>
      <xdr:col>40</xdr:col>
      <xdr:colOff>828492</xdr:colOff>
      <xdr:row>49</xdr:row>
      <xdr:rowOff>110219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714" y="2762251"/>
          <a:ext cx="3454671" cy="1646464"/>
        </a:xfrm>
        <a:prstGeom prst="rect">
          <a:avLst/>
        </a:prstGeom>
      </xdr:spPr>
    </xdr:pic>
    <xdr:clientData/>
  </xdr:twoCellAnchor>
  <xdr:twoCellAnchor editAs="oneCell">
    <xdr:from>
      <xdr:col>54</xdr:col>
      <xdr:colOff>3193142</xdr:colOff>
      <xdr:row>84</xdr:row>
      <xdr:rowOff>136072</xdr:rowOff>
    </xdr:from>
    <xdr:to>
      <xdr:col>111</xdr:col>
      <xdr:colOff>27215</xdr:colOff>
      <xdr:row>93</xdr:row>
      <xdr:rowOff>72572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4571" y="6740072"/>
          <a:ext cx="13960930" cy="1787071"/>
        </a:xfrm>
        <a:prstGeom prst="rect">
          <a:avLst/>
        </a:prstGeom>
      </xdr:spPr>
    </xdr:pic>
    <xdr:clientData/>
  </xdr:twoCellAnchor>
  <xdr:twoCellAnchor editAs="oneCell">
    <xdr:from>
      <xdr:col>55</xdr:col>
      <xdr:colOff>81643</xdr:colOff>
      <xdr:row>6</xdr:row>
      <xdr:rowOff>122465</xdr:rowOff>
    </xdr:from>
    <xdr:to>
      <xdr:col>71</xdr:col>
      <xdr:colOff>381000</xdr:colOff>
      <xdr:row>6</xdr:row>
      <xdr:rowOff>465129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2107" y="1170215"/>
          <a:ext cx="8137072" cy="342664"/>
        </a:xfrm>
        <a:prstGeom prst="rect">
          <a:avLst/>
        </a:prstGeom>
      </xdr:spPr>
    </xdr:pic>
    <xdr:clientData/>
  </xdr:twoCellAnchor>
  <xdr:twoCellAnchor editAs="oneCell">
    <xdr:from>
      <xdr:col>62</xdr:col>
      <xdr:colOff>97971</xdr:colOff>
      <xdr:row>8</xdr:row>
      <xdr:rowOff>97972</xdr:rowOff>
    </xdr:from>
    <xdr:to>
      <xdr:col>78</xdr:col>
      <xdr:colOff>397328</xdr:colOff>
      <xdr:row>8</xdr:row>
      <xdr:rowOff>440636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7435" y="2207079"/>
          <a:ext cx="8137072" cy="342664"/>
        </a:xfrm>
        <a:prstGeom prst="rect">
          <a:avLst/>
        </a:prstGeom>
      </xdr:spPr>
    </xdr:pic>
    <xdr:clientData/>
  </xdr:twoCellAnchor>
  <xdr:twoCellAnchor editAs="oneCell">
    <xdr:from>
      <xdr:col>62</xdr:col>
      <xdr:colOff>152402</xdr:colOff>
      <xdr:row>48</xdr:row>
      <xdr:rowOff>123826</xdr:rowOff>
    </xdr:from>
    <xdr:to>
      <xdr:col>71</xdr:col>
      <xdr:colOff>295275</xdr:colOff>
      <xdr:row>48</xdr:row>
      <xdr:rowOff>462644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1866" y="4355647"/>
          <a:ext cx="4551588" cy="338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CF183"/>
  <sheetViews>
    <sheetView tabSelected="1" topLeftCell="B4" zoomScale="70" zoomScaleNormal="70" zoomScalePageLayoutView="70" workbookViewId="0">
      <selection activeCell="B88" sqref="B88"/>
    </sheetView>
  </sheetViews>
  <sheetFormatPr baseColWidth="10" defaultColWidth="9.1640625" defaultRowHeight="16" x14ac:dyDescent="0.2"/>
  <cols>
    <col min="1" max="1" width="2.1640625" customWidth="1"/>
    <col min="2" max="2" width="36.1640625" style="6" customWidth="1"/>
    <col min="3" max="3" width="45.5" hidden="1" customWidth="1"/>
    <col min="4" max="4" width="26.33203125" customWidth="1"/>
    <col min="5" max="5" width="27.1640625" customWidth="1"/>
    <col min="6" max="6" width="24.83203125" hidden="1" customWidth="1"/>
    <col min="7" max="7" width="29.5" hidden="1" customWidth="1"/>
    <col min="8" max="8" width="17.1640625" hidden="1" customWidth="1"/>
    <col min="9" max="10" width="14.33203125" hidden="1" customWidth="1"/>
    <col min="11" max="13" width="15.5" hidden="1" customWidth="1"/>
    <col min="14" max="14" width="7" hidden="1" customWidth="1"/>
    <col min="15" max="15" width="15.5" hidden="1" customWidth="1"/>
    <col min="16" max="16" width="19.1640625" hidden="1" customWidth="1"/>
    <col min="17" max="17" width="21.6640625" hidden="1" customWidth="1"/>
    <col min="18" max="18" width="15.5" hidden="1" customWidth="1"/>
    <col min="19" max="19" width="32.1640625" hidden="1" customWidth="1"/>
    <col min="20" max="20" width="11" hidden="1" customWidth="1"/>
    <col min="21" max="21" width="16.5" hidden="1" customWidth="1"/>
    <col min="22" max="22" width="15.5" hidden="1" customWidth="1"/>
    <col min="23" max="23" width="34" hidden="1" customWidth="1"/>
    <col min="24" max="24" width="44.83203125" hidden="1" customWidth="1"/>
    <col min="25" max="25" width="8.6640625" hidden="1" customWidth="1"/>
    <col min="26" max="26" width="17.1640625" hidden="1" customWidth="1"/>
    <col min="27" max="27" width="15.5" hidden="1" customWidth="1"/>
    <col min="28" max="28" width="23.1640625" hidden="1" customWidth="1"/>
    <col min="29" max="29" width="18.33203125" hidden="1" customWidth="1"/>
    <col min="30" max="30" width="15.5" hidden="1" customWidth="1"/>
    <col min="31" max="31" width="18.83203125" hidden="1" customWidth="1"/>
    <col min="32" max="32" width="35.83203125" hidden="1" customWidth="1"/>
    <col min="33" max="33" width="15.5" hidden="1" customWidth="1"/>
    <col min="34" max="34" width="16.5" hidden="1" customWidth="1"/>
    <col min="35" max="35" width="16" hidden="1" customWidth="1"/>
    <col min="36" max="36" width="16.83203125" hidden="1" customWidth="1"/>
    <col min="37" max="39" width="16.33203125" hidden="1" customWidth="1"/>
    <col min="40" max="41" width="13.6640625" customWidth="1"/>
    <col min="42" max="54" width="11.6640625" hidden="1" customWidth="1"/>
    <col min="55" max="55" width="42.6640625" customWidth="1"/>
    <col min="56" max="78" width="7.5" customWidth="1"/>
    <col min="79" max="79" width="7" customWidth="1"/>
    <col min="80" max="80" width="22.5" hidden="1" customWidth="1"/>
    <col min="81" max="81" width="12" hidden="1" customWidth="1"/>
    <col min="82" max="82" width="18" hidden="1" customWidth="1"/>
    <col min="83" max="111" width="0" hidden="1" customWidth="1"/>
  </cols>
  <sheetData>
    <row r="1" spans="1:84" ht="23.25" hidden="1" customHeight="1" x14ac:dyDescent="0.2"/>
    <row r="2" spans="1:84" ht="29.25" hidden="1" customHeight="1" thickBot="1" x14ac:dyDescent="0.25">
      <c r="B2" s="131" t="str">
        <f>IF(B10&gt;=5,"O K ","OVERLOAD")</f>
        <v xml:space="preserve">O K </v>
      </c>
    </row>
    <row r="3" spans="1:84" ht="29.25" hidden="1" customHeight="1" thickBot="1" x14ac:dyDescent="0.2">
      <c r="B3"/>
    </row>
    <row r="4" spans="1:84" ht="22.5" customHeight="1" thickTop="1" thickBot="1" x14ac:dyDescent="0.25">
      <c r="B4" s="245" t="s">
        <v>73</v>
      </c>
      <c r="C4" s="246"/>
      <c r="D4" s="282"/>
      <c r="E4" s="245" t="s">
        <v>72</v>
      </c>
    </row>
    <row r="5" spans="1:84" ht="32" thickTop="1" thickBot="1" x14ac:dyDescent="0.25">
      <c r="A5" s="7"/>
      <c r="B5" s="247" t="str">
        <f>IF(B6=TRUE,"O K","OVERLOAD")</f>
        <v>O K</v>
      </c>
      <c r="C5" s="248"/>
      <c r="D5" s="283"/>
      <c r="E5" s="247" t="str">
        <f>IF(E6=TRUE,"O K ","OVERLOAD")</f>
        <v xml:space="preserve">O K </v>
      </c>
      <c r="BC5" s="272" t="s">
        <v>21</v>
      </c>
      <c r="BD5" s="279">
        <f>+D23</f>
        <v>1023.2</v>
      </c>
      <c r="BE5" s="279"/>
      <c r="BF5" s="273" t="s">
        <v>15</v>
      </c>
      <c r="BG5" s="273"/>
      <c r="BH5" s="274" t="s">
        <v>99</v>
      </c>
      <c r="BI5" s="275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113"/>
      <c r="BZ5" s="113"/>
      <c r="CA5" s="113"/>
      <c r="CB5" s="114"/>
      <c r="CC5" s="114"/>
      <c r="CD5" s="114"/>
      <c r="CE5" s="114"/>
      <c r="CF5" s="114"/>
    </row>
    <row r="6" spans="1:84" ht="20" hidden="1" thickTop="1" thickBot="1" x14ac:dyDescent="0.25">
      <c r="A6" s="7"/>
      <c r="B6" s="249" t="b">
        <f>AND(B11&gt;=5,D11&gt;=5,AN91&gt;=5,AO91&gt;=5)</f>
        <v>1</v>
      </c>
      <c r="C6" s="248"/>
      <c r="D6" s="248"/>
      <c r="E6" s="250" t="b">
        <f>AND(B11&gt;=5,D11&gt;=5,E11&gt;=5,AN91&gt;=5,AO91&gt;=5)</f>
        <v>1</v>
      </c>
      <c r="BC6" s="235"/>
      <c r="BD6" s="237"/>
      <c r="BE6" s="237"/>
      <c r="BF6" s="55"/>
      <c r="BG6" s="55"/>
      <c r="BH6" s="112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4"/>
      <c r="CC6" s="114"/>
      <c r="CD6" s="114"/>
      <c r="CE6" s="114"/>
      <c r="CF6" s="114"/>
    </row>
    <row r="7" spans="1:84" ht="53.25" customHeight="1" thickTop="1" thickBot="1" x14ac:dyDescent="0.25">
      <c r="A7" s="7"/>
      <c r="B7" s="294"/>
      <c r="C7" s="295"/>
      <c r="D7" s="295"/>
      <c r="E7" s="296"/>
      <c r="BC7" s="163" t="s">
        <v>23</v>
      </c>
      <c r="BD7" s="164" t="s">
        <v>24</v>
      </c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6" t="s">
        <v>25</v>
      </c>
      <c r="BU7" s="169"/>
      <c r="BV7" s="170"/>
      <c r="BW7" s="170"/>
      <c r="BX7" s="170"/>
      <c r="BY7" s="170"/>
      <c r="BZ7" s="170"/>
      <c r="CA7" s="171"/>
      <c r="CB7" s="114"/>
      <c r="CC7" s="114"/>
      <c r="CD7" s="114"/>
      <c r="CE7" s="114"/>
      <c r="CF7" s="114"/>
    </row>
    <row r="8" spans="1:84" ht="32.25" customHeight="1" thickTop="1" thickBot="1" x14ac:dyDescent="0.3">
      <c r="A8" s="7"/>
      <c r="B8" s="293" t="s">
        <v>77</v>
      </c>
      <c r="C8" s="293"/>
      <c r="D8" s="293"/>
      <c r="E8" s="293"/>
      <c r="BB8" s="241">
        <f>+IF(AND(BS8&gt;0,BD8&gt;0),BD8)</f>
        <v>371.7413850446888</v>
      </c>
      <c r="BC8" s="167" t="s">
        <v>63</v>
      </c>
      <c r="BD8" s="284">
        <f>+((E19-E21)/E19)*D23</f>
        <v>371.7413850446888</v>
      </c>
      <c r="BE8" s="285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97">
        <f>(E21/E19)*D23</f>
        <v>651.45861495531119</v>
      </c>
      <c r="BT8" s="298"/>
      <c r="BU8" s="175"/>
      <c r="BV8" s="176"/>
      <c r="BW8" s="176"/>
      <c r="BX8" s="176"/>
      <c r="BY8" s="176"/>
      <c r="BZ8" s="176"/>
      <c r="CA8" s="177"/>
      <c r="CB8" s="243">
        <f>+IF(AND(BD8&gt;0,BS8&gt;0),BS8)</f>
        <v>651.45861495531119</v>
      </c>
      <c r="CC8" s="114"/>
      <c r="CD8" s="114"/>
      <c r="CE8" s="114"/>
      <c r="CF8" s="114"/>
    </row>
    <row r="9" spans="1:84" ht="50.25" customHeight="1" thickTop="1" thickBot="1" x14ac:dyDescent="0.25">
      <c r="A9" s="7"/>
      <c r="B9" s="265" t="s">
        <v>75</v>
      </c>
      <c r="C9" s="249"/>
      <c r="D9" s="265" t="s">
        <v>76</v>
      </c>
      <c r="E9" s="265" t="s">
        <v>74</v>
      </c>
      <c r="BC9" s="168" t="s">
        <v>23</v>
      </c>
      <c r="BD9" s="169"/>
      <c r="BE9" s="170"/>
      <c r="BF9" s="170"/>
      <c r="BG9" s="170"/>
      <c r="BH9" s="170"/>
      <c r="BI9" s="170"/>
      <c r="BJ9" s="171"/>
      <c r="BK9" s="214" t="s">
        <v>24</v>
      </c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63"/>
      <c r="CA9" s="173" t="s">
        <v>25</v>
      </c>
      <c r="CB9" s="114"/>
      <c r="CC9" s="114"/>
      <c r="CD9" s="114"/>
      <c r="CE9" s="114"/>
      <c r="CF9" s="114"/>
    </row>
    <row r="10" spans="1:84" ht="20" hidden="1" thickTop="1" thickBot="1" x14ac:dyDescent="0.25">
      <c r="A10" s="7"/>
      <c r="B10" s="265">
        <f>+C32/BA50</f>
        <v>11.227845652170533</v>
      </c>
      <c r="C10" s="250"/>
      <c r="D10" s="265">
        <f>+D32/CC50</f>
        <v>14.122155711504563</v>
      </c>
      <c r="E10" s="266">
        <f>+D32/BD5</f>
        <v>8.991399530883502</v>
      </c>
      <c r="BC10" s="215"/>
      <c r="BD10" s="216"/>
      <c r="BE10" s="217"/>
      <c r="BF10" s="217"/>
      <c r="BG10" s="217"/>
      <c r="BH10" s="217"/>
      <c r="BI10" s="217"/>
      <c r="BJ10" s="218"/>
      <c r="BK10" s="21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62"/>
      <c r="CA10" s="220"/>
      <c r="CB10" s="114"/>
      <c r="CC10" s="114"/>
      <c r="CD10" s="114"/>
      <c r="CE10" s="114"/>
      <c r="CF10" s="114"/>
    </row>
    <row r="11" spans="1:84" ht="32.25" customHeight="1" thickTop="1" thickBot="1" x14ac:dyDescent="0.3">
      <c r="A11" s="7"/>
      <c r="B11" s="251">
        <f>ABS(B10)</f>
        <v>11.227845652170533</v>
      </c>
      <c r="C11" s="249"/>
      <c r="D11" s="251">
        <f>ABS(D10)</f>
        <v>14.122155711504563</v>
      </c>
      <c r="E11" s="251">
        <f>+IF(AND(D10&lt;&gt;TRUE,B10&lt;&gt;TRUE),E10)</f>
        <v>8.991399530883502</v>
      </c>
      <c r="BB11" s="241">
        <f>+IF(AND(BZ11&gt;0,BK11&gt;0),BK11)</f>
        <v>819.39138504468872</v>
      </c>
      <c r="BC11" s="174" t="s">
        <v>64</v>
      </c>
      <c r="BD11" s="175"/>
      <c r="BE11" s="176"/>
      <c r="BF11" s="176"/>
      <c r="BG11" s="176"/>
      <c r="BH11" s="176"/>
      <c r="BI11" s="176"/>
      <c r="BJ11" s="177"/>
      <c r="BK11" s="299">
        <f>((E19-E18)/E19)*D23</f>
        <v>819.39138504468872</v>
      </c>
      <c r="BL11" s="300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77">
        <f>+(E18/E19)*D23</f>
        <v>203.80861495531124</v>
      </c>
      <c r="CA11" s="278"/>
      <c r="CB11" s="243">
        <f>+IF(AND(BK11&gt;0,BZ11&gt;0),BZ11)</f>
        <v>203.80861495531124</v>
      </c>
      <c r="CC11" s="114"/>
      <c r="CD11" s="114"/>
      <c r="CE11" s="114"/>
      <c r="CF11" s="114"/>
    </row>
    <row r="12" spans="1:84" ht="19" hidden="1" thickTop="1" x14ac:dyDescent="0.2">
      <c r="A12" s="7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</row>
    <row r="13" spans="1:84" ht="19" hidden="1" thickTop="1" x14ac:dyDescent="0.2">
      <c r="C13" s="60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84" ht="19" hidden="1" thickTop="1" x14ac:dyDescent="0.2"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84" ht="19" hidden="1" thickTop="1" x14ac:dyDescent="0.2">
      <c r="B1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84" ht="19" hidden="1" thickTop="1" x14ac:dyDescent="0.2">
      <c r="C16" s="98" t="s">
        <v>53</v>
      </c>
      <c r="D16" s="7"/>
      <c r="E16" s="154" t="s">
        <v>84</v>
      </c>
      <c r="F16" s="154" t="s">
        <v>85</v>
      </c>
      <c r="G16" s="154" t="s">
        <v>86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2:79" ht="42" hidden="1" customHeight="1" x14ac:dyDescent="0.2">
      <c r="C17" s="104" t="s">
        <v>22</v>
      </c>
      <c r="D17" s="105">
        <v>387</v>
      </c>
      <c r="E17" s="155">
        <f>+COS(($B$50*-1)*3.14159265358979/180)*D17</f>
        <v>387</v>
      </c>
      <c r="F17" s="156">
        <f>+COS(($B$50*-1)*3.14159265358979/180)*43</f>
        <v>43</v>
      </c>
      <c r="G17" s="156">
        <f>+COS((($B$50*-1)+47.779)*3.14159265358979/180)*72.918</f>
        <v>49.000317269112806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178"/>
      <c r="BW17" s="25"/>
      <c r="BX17" s="25"/>
      <c r="BY17" s="25"/>
      <c r="BZ17" s="25"/>
      <c r="CA17" s="25"/>
    </row>
    <row r="18" spans="2:79" ht="42" hidden="1" customHeight="1" x14ac:dyDescent="0.2">
      <c r="C18" s="104" t="s">
        <v>51</v>
      </c>
      <c r="D18" s="105">
        <f>+D26-49</f>
        <v>137.04129370505311</v>
      </c>
      <c r="E18" s="155">
        <f>+D26-G17</f>
        <v>137.04097643594031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2:79" ht="42" hidden="1" customHeight="1" x14ac:dyDescent="0.2">
      <c r="C19" s="106" t="s">
        <v>56</v>
      </c>
      <c r="D19" s="107">
        <v>688</v>
      </c>
      <c r="E19" s="155">
        <f>+COS(($B$50*-1)*3.14159265358979/180)*D19</f>
        <v>688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2:79" ht="42" hidden="1" customHeight="1" x14ac:dyDescent="0.2">
      <c r="C20" s="106" t="s">
        <v>57</v>
      </c>
      <c r="D20" s="121">
        <v>688</v>
      </c>
      <c r="E20" s="7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178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2:79" ht="42" hidden="1" customHeight="1" thickBot="1" x14ac:dyDescent="0.25">
      <c r="C21" s="106" t="s">
        <v>58</v>
      </c>
      <c r="D21" s="108">
        <f>+D26+252</f>
        <v>438.04129370505314</v>
      </c>
      <c r="E21" s="155">
        <f>+(COS(($B$50*-1)*3.14159265358979/180)*301)+$E$18</f>
        <v>438.04097643594031</v>
      </c>
      <c r="BC21" s="128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</row>
    <row r="22" spans="2:79" ht="21" hidden="1" thickTop="1" x14ac:dyDescent="0.2">
      <c r="C22" s="69"/>
      <c r="D22" s="101"/>
      <c r="E22" s="7"/>
      <c r="BC22" s="128"/>
      <c r="BD22" s="55"/>
      <c r="BE22" s="55"/>
      <c r="BF22" s="55"/>
      <c r="BG22" s="55"/>
      <c r="BH22" s="55"/>
      <c r="BI22" s="55"/>
      <c r="BJ22" s="55"/>
      <c r="BK22" s="120"/>
      <c r="BL22" s="120"/>
      <c r="BM22" s="120"/>
      <c r="BN22" s="120"/>
      <c r="BO22" s="222" t="b">
        <f>IF(BU66=-1,5)</f>
        <v>0</v>
      </c>
      <c r="BP22" s="223"/>
      <c r="BQ22" s="224"/>
      <c r="BR22" s="223"/>
      <c r="BS22" s="224"/>
      <c r="BT22" s="224"/>
      <c r="BU22" s="224"/>
      <c r="BV22" s="224"/>
      <c r="BW22" s="224"/>
      <c r="BX22" s="223"/>
      <c r="BY22" s="224"/>
      <c r="BZ22" s="223"/>
      <c r="CA22" s="225" t="b">
        <f>IF(BU66=-1,-7)</f>
        <v>0</v>
      </c>
    </row>
    <row r="23" spans="2:79" ht="53.25" hidden="1" customHeight="1" thickBot="1" x14ac:dyDescent="0.25">
      <c r="B23" s="148" t="s">
        <v>54</v>
      </c>
      <c r="C23" s="149" t="s">
        <v>14</v>
      </c>
      <c r="D23" s="150">
        <f>+B88*95+39+30+4.2</f>
        <v>1023.2</v>
      </c>
      <c r="E23" s="7"/>
      <c r="BC23" s="128"/>
      <c r="BD23" s="55"/>
      <c r="BE23" s="55"/>
      <c r="BF23" s="55"/>
      <c r="BG23" s="55"/>
      <c r="BH23" s="55"/>
      <c r="BI23" s="55"/>
      <c r="BJ23" s="55"/>
      <c r="BK23" s="120"/>
      <c r="BL23" s="120"/>
      <c r="BM23" s="179" t="b">
        <f>IF(BT66=8,3)</f>
        <v>0</v>
      </c>
      <c r="BN23" s="181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1"/>
      <c r="CA23" s="182" t="b">
        <f>IF(BT66=8,-7)</f>
        <v>0</v>
      </c>
    </row>
    <row r="24" spans="2:79" ht="22" hidden="1" thickTop="1" thickBot="1" x14ac:dyDescent="0.25">
      <c r="B24" s="151"/>
      <c r="C24" s="149" t="s">
        <v>13</v>
      </c>
      <c r="D24" s="150">
        <f>+AG91</f>
        <v>519.99374103885407</v>
      </c>
      <c r="E24" s="7"/>
      <c r="BC24" s="128"/>
      <c r="BD24" s="55"/>
      <c r="BE24" s="55"/>
      <c r="BF24" s="55"/>
      <c r="BG24" s="55"/>
      <c r="BH24" s="55"/>
      <c r="BI24" s="55"/>
      <c r="BJ24" s="55"/>
      <c r="BK24" s="179" t="b">
        <f>IF(BS66=7,1)</f>
        <v>0</v>
      </c>
      <c r="BL24" s="181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1"/>
      <c r="CA24" s="182" t="b">
        <f>IF(BS66=7,-7)</f>
        <v>0</v>
      </c>
    </row>
    <row r="25" spans="2:79" ht="22" hidden="1" thickTop="1" thickBot="1" x14ac:dyDescent="0.25">
      <c r="B25" s="151"/>
      <c r="C25" s="152" t="s">
        <v>40</v>
      </c>
      <c r="D25" s="152"/>
      <c r="E25" s="7"/>
      <c r="BC25" s="128"/>
      <c r="BD25" s="55"/>
      <c r="BE25" s="55"/>
      <c r="BF25" s="55"/>
      <c r="BG25" s="55"/>
      <c r="BH25" s="55"/>
      <c r="BI25" s="55"/>
      <c r="BJ25" s="55"/>
      <c r="BK25" s="186" t="b">
        <f>IF(BR66=62,1)</f>
        <v>0</v>
      </c>
      <c r="BL25" s="183"/>
      <c r="BM25" s="183"/>
      <c r="BN25" s="184"/>
      <c r="BO25" s="183"/>
      <c r="BP25" s="183"/>
      <c r="BQ25" s="183"/>
      <c r="BR25" s="183"/>
      <c r="BS25" s="183"/>
      <c r="BT25" s="183"/>
      <c r="BU25" s="183"/>
      <c r="BV25" s="184"/>
      <c r="BW25" s="183"/>
      <c r="BX25" s="183"/>
      <c r="BY25" s="185" t="b">
        <f>IF(BR66=62,-5)</f>
        <v>0</v>
      </c>
      <c r="BZ25" s="120"/>
      <c r="CA25" s="55"/>
    </row>
    <row r="26" spans="2:79" ht="34" hidden="1" thickTop="1" thickBot="1" x14ac:dyDescent="0.25">
      <c r="B26" s="153" t="s">
        <v>55</v>
      </c>
      <c r="C26" s="149" t="s">
        <v>12</v>
      </c>
      <c r="D26" s="149">
        <f>+W83</f>
        <v>186.04129370505311</v>
      </c>
      <c r="E26" s="7"/>
      <c r="BC26" s="128"/>
      <c r="BD26" s="55"/>
      <c r="BE26" s="55"/>
      <c r="BF26" s="55"/>
      <c r="BG26" s="55"/>
      <c r="BH26" s="55"/>
      <c r="BI26" s="55"/>
      <c r="BJ26" s="55"/>
      <c r="BK26" s="186" t="b">
        <f>IF(BQ66=61,1)</f>
        <v>0</v>
      </c>
      <c r="BL26" s="184"/>
      <c r="BM26" s="183"/>
      <c r="BN26" s="183"/>
      <c r="BO26" s="183"/>
      <c r="BP26" s="183"/>
      <c r="BQ26" s="183"/>
      <c r="BR26" s="183"/>
      <c r="BS26" s="183"/>
      <c r="BT26" s="183"/>
      <c r="BU26" s="183"/>
      <c r="BV26" s="184"/>
      <c r="BW26" s="185" t="b">
        <f>IF(BQ66=61,-3)</f>
        <v>0</v>
      </c>
      <c r="BX26" s="120"/>
      <c r="BY26" s="120"/>
      <c r="BZ26" s="120"/>
      <c r="CA26" s="55"/>
    </row>
    <row r="27" spans="2:79" ht="20" hidden="1" thickTop="1" thickBot="1" x14ac:dyDescent="0.25">
      <c r="B27" s="96"/>
      <c r="C27" s="6"/>
      <c r="D27" s="7"/>
      <c r="E27" s="7"/>
      <c r="BC27" s="128"/>
      <c r="BD27" s="55"/>
      <c r="BE27" s="55"/>
      <c r="BF27" s="55"/>
      <c r="BG27" s="55"/>
      <c r="BH27" s="55"/>
      <c r="BI27" s="55"/>
      <c r="BJ27" s="25"/>
      <c r="BK27" s="186" t="b">
        <f>IF(BP66=6,1)</f>
        <v>0</v>
      </c>
      <c r="BL27" s="183"/>
      <c r="BM27" s="183"/>
      <c r="BN27" s="183"/>
      <c r="BO27" s="183"/>
      <c r="BP27" s="183"/>
      <c r="BQ27" s="183"/>
      <c r="BR27" s="183"/>
      <c r="BS27" s="183"/>
      <c r="BT27" s="183"/>
      <c r="BU27" s="185" t="b">
        <f>IF(BP66=6,-1)</f>
        <v>0</v>
      </c>
      <c r="BV27" s="61"/>
      <c r="BW27" s="120"/>
      <c r="BX27" s="120"/>
      <c r="BY27" s="120"/>
      <c r="BZ27" s="120"/>
      <c r="CA27" s="55"/>
    </row>
    <row r="28" spans="2:79" ht="20" hidden="1" thickTop="1" thickBot="1" x14ac:dyDescent="0.25">
      <c r="C28" s="6"/>
      <c r="D28" s="102"/>
      <c r="E28" s="7"/>
      <c r="BC28" s="128"/>
      <c r="BD28" s="55"/>
      <c r="BE28" s="55"/>
      <c r="BF28" s="55"/>
      <c r="BG28" s="55"/>
      <c r="BH28" s="25"/>
      <c r="BI28" s="55"/>
      <c r="BJ28" s="187" t="b">
        <f>IF(BO66=5,-1)</f>
        <v>0</v>
      </c>
      <c r="BK28" s="188"/>
      <c r="BL28" s="188"/>
      <c r="BM28" s="188"/>
      <c r="BN28" s="188"/>
      <c r="BO28" s="188"/>
      <c r="BP28" s="188"/>
      <c r="BQ28" s="188"/>
      <c r="BR28" s="188"/>
      <c r="BS28" s="188"/>
      <c r="BT28" s="189" t="b">
        <f>IF(BO66=5,8)</f>
        <v>0</v>
      </c>
      <c r="BU28" s="55"/>
      <c r="BV28" s="25"/>
      <c r="BW28" s="55"/>
      <c r="BX28" s="55"/>
      <c r="BY28" s="55"/>
      <c r="BZ28" s="55"/>
      <c r="CA28" s="55"/>
    </row>
    <row r="29" spans="2:79" ht="20" hidden="1" thickTop="1" thickBot="1" x14ac:dyDescent="0.25">
      <c r="C29" s="110"/>
      <c r="D29" s="111" t="str">
        <f>IF(D10&gt;=10,"O K ","OVERLOAD")</f>
        <v xml:space="preserve">O K </v>
      </c>
      <c r="E29" s="7"/>
      <c r="BC29" s="128"/>
      <c r="BD29" s="55"/>
      <c r="BE29" s="55"/>
      <c r="BF29" s="25"/>
      <c r="BG29" s="55"/>
      <c r="BH29" s="187">
        <f>IF(BN66=4,-3)</f>
        <v>-3</v>
      </c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90">
        <f>IF(BN66=4,8)</f>
        <v>8</v>
      </c>
      <c r="BU29" s="55"/>
      <c r="BV29" s="25"/>
      <c r="BW29" s="55"/>
      <c r="BX29" s="55"/>
      <c r="BY29" s="55"/>
      <c r="BZ29" s="55"/>
      <c r="CA29" s="55"/>
    </row>
    <row r="30" spans="2:79" ht="20" hidden="1" thickTop="1" thickBot="1" x14ac:dyDescent="0.25">
      <c r="C30" s="64"/>
      <c r="D30" s="64"/>
      <c r="E30" s="7"/>
      <c r="BC30" s="128"/>
      <c r="BD30" s="25"/>
      <c r="BE30" s="55"/>
      <c r="BF30" s="187" t="b">
        <f>IF(BM66=3,-5)</f>
        <v>0</v>
      </c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90" t="b">
        <f>IF(BM66=3,8)</f>
        <v>0</v>
      </c>
      <c r="BU30" s="55"/>
      <c r="BV30" s="25"/>
      <c r="BW30" s="55"/>
      <c r="BX30" s="55"/>
      <c r="BY30" s="55"/>
      <c r="BZ30" s="55"/>
      <c r="CA30" s="55"/>
    </row>
    <row r="31" spans="2:79" ht="38" hidden="1" thickTop="1" thickBot="1" x14ac:dyDescent="0.25">
      <c r="C31" s="102">
        <v>5800</v>
      </c>
      <c r="D31" s="102">
        <v>5800</v>
      </c>
      <c r="E31" s="103" t="s">
        <v>62</v>
      </c>
      <c r="BC31" s="128"/>
      <c r="BD31" s="187" t="b">
        <f>IF(BL66=2,-7)</f>
        <v>0</v>
      </c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90" t="b">
        <f>IF(BL66=2,8)</f>
        <v>0</v>
      </c>
      <c r="BU31" s="55"/>
      <c r="BV31" s="55"/>
      <c r="BW31" s="55"/>
      <c r="BX31" s="55"/>
      <c r="BY31" s="55"/>
      <c r="BZ31" s="55"/>
      <c r="CA31" s="55"/>
    </row>
    <row r="32" spans="2:79" ht="20" hidden="1" thickTop="1" thickBot="1" x14ac:dyDescent="0.25">
      <c r="B32" s="109" t="s">
        <v>53</v>
      </c>
      <c r="C32" s="109">
        <v>9200</v>
      </c>
      <c r="D32" s="109">
        <v>9200</v>
      </c>
      <c r="E32" s="103"/>
      <c r="BC32" s="128"/>
      <c r="BD32" s="25"/>
      <c r="BE32" s="55"/>
      <c r="BF32" s="191" t="b">
        <f>IF(BK66=1,-5)</f>
        <v>0</v>
      </c>
      <c r="BG32" s="188"/>
      <c r="BH32" s="188"/>
      <c r="BI32" s="188"/>
      <c r="BJ32" s="188"/>
      <c r="BK32" s="188"/>
      <c r="BL32" s="188"/>
      <c r="BM32" s="188"/>
      <c r="BN32" s="188"/>
      <c r="BO32" s="188"/>
      <c r="BP32" s="189" t="b">
        <f>IF(BK66=1,6)</f>
        <v>0</v>
      </c>
      <c r="BQ32" s="55"/>
      <c r="BR32" s="25"/>
      <c r="BS32" s="55"/>
      <c r="BT32" s="55"/>
      <c r="BU32" s="55"/>
      <c r="BV32" s="55"/>
      <c r="BW32" s="55"/>
      <c r="BX32" s="55"/>
      <c r="BY32" s="55"/>
      <c r="BZ32" s="55"/>
      <c r="CA32" s="55"/>
    </row>
    <row r="33" spans="2:84" ht="20" hidden="1" thickTop="1" thickBot="1" x14ac:dyDescent="0.25">
      <c r="C33" s="129" t="s">
        <v>16</v>
      </c>
      <c r="D33" s="129" t="s">
        <v>17</v>
      </c>
      <c r="E33" s="7"/>
      <c r="BC33" s="128"/>
      <c r="BD33" s="187" t="b">
        <f>IF(BJ66=-1,-7)</f>
        <v>0</v>
      </c>
      <c r="BE33" s="146"/>
      <c r="BF33" s="147"/>
      <c r="BG33" s="147"/>
      <c r="BH33" s="147"/>
      <c r="BI33" s="147"/>
      <c r="BJ33" s="147"/>
      <c r="BK33" s="147"/>
      <c r="BL33" s="147"/>
      <c r="BM33" s="147"/>
      <c r="BN33" s="146"/>
      <c r="BO33" s="147"/>
      <c r="BP33" s="190" t="b">
        <f>IF(BJ66=-1,6)</f>
        <v>0</v>
      </c>
      <c r="BQ33" s="55"/>
      <c r="BR33" s="55"/>
      <c r="BS33" s="55"/>
      <c r="BT33" s="55"/>
      <c r="BU33" s="55"/>
      <c r="BV33" s="120"/>
      <c r="BW33" s="25"/>
      <c r="BX33" s="25"/>
      <c r="BY33" s="179" t="b">
        <f>IF(BZ66=-6,-5)</f>
        <v>0</v>
      </c>
      <c r="BZ33" s="181"/>
      <c r="CA33" s="182" t="b">
        <f>IF(BZ66=-6,-7)</f>
        <v>0</v>
      </c>
    </row>
    <row r="34" spans="2:84" ht="20" hidden="1" thickTop="1" thickBot="1" x14ac:dyDescent="0.25">
      <c r="C34" s="129">
        <f>+((D24-D26)/D24)*D23</f>
        <v>657.12357119777948</v>
      </c>
      <c r="D34" s="129">
        <f>+(D26/D24)*D23</f>
        <v>366.07642880222051</v>
      </c>
      <c r="BC34" s="128"/>
      <c r="BD34" s="187" t="b">
        <f>IF(BI66=-2,-7)</f>
        <v>0</v>
      </c>
      <c r="BE34" s="147"/>
      <c r="BF34" s="147"/>
      <c r="BG34" s="147"/>
      <c r="BH34" s="147"/>
      <c r="BI34" s="147"/>
      <c r="BJ34" s="147"/>
      <c r="BK34" s="147"/>
      <c r="BL34" s="147"/>
      <c r="BM34" s="147"/>
      <c r="BN34" s="190" t="b">
        <f>IF(BI66=-2,4)</f>
        <v>0</v>
      </c>
      <c r="BO34" s="55"/>
      <c r="BP34" s="55"/>
      <c r="BQ34" s="55"/>
      <c r="BR34" s="55"/>
      <c r="BS34" s="55"/>
      <c r="BT34" s="55"/>
      <c r="BU34" s="55"/>
      <c r="BV34" s="120"/>
      <c r="BW34" s="179" t="b">
        <f>IF(BY66=-5,-3)</f>
        <v>0</v>
      </c>
      <c r="BX34" s="181"/>
      <c r="BY34" s="181"/>
      <c r="BZ34" s="181"/>
      <c r="CA34" s="182" t="b">
        <f>IF(BY66=-5,-7)</f>
        <v>0</v>
      </c>
    </row>
    <row r="35" spans="2:84" ht="20" hidden="1" thickTop="1" thickBot="1" x14ac:dyDescent="0.25">
      <c r="BC35" s="128"/>
      <c r="BD35" s="187" t="b">
        <f>IF(BH66=-3,-7)</f>
        <v>0</v>
      </c>
      <c r="BE35" s="146"/>
      <c r="BF35" s="147"/>
      <c r="BG35" s="147"/>
      <c r="BH35" s="147"/>
      <c r="BI35" s="147"/>
      <c r="BJ35" s="147"/>
      <c r="BK35" s="146"/>
      <c r="BL35" s="190" t="b">
        <f>IF(BH66=-3,2)</f>
        <v>0</v>
      </c>
      <c r="BM35" s="55"/>
      <c r="BN35" s="55"/>
      <c r="BO35" s="55"/>
      <c r="BP35" s="55"/>
      <c r="BQ35" s="55"/>
      <c r="BR35" s="55"/>
      <c r="BS35" s="55"/>
      <c r="BT35" s="55"/>
      <c r="BU35" s="179" t="b">
        <f>IF(BX66=-4,-1)</f>
        <v>0</v>
      </c>
      <c r="BV35" s="181"/>
      <c r="BW35" s="181"/>
      <c r="BX35" s="180"/>
      <c r="BY35" s="180"/>
      <c r="BZ35" s="181"/>
      <c r="CA35" s="182" t="b">
        <f>IF(BX66=-4,-7)</f>
        <v>0</v>
      </c>
    </row>
    <row r="36" spans="2:84" ht="19" hidden="1" thickTop="1" x14ac:dyDescent="0.2">
      <c r="BC36" s="2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61"/>
      <c r="BW36" s="120"/>
      <c r="BX36" s="120"/>
      <c r="BY36" s="120"/>
      <c r="BZ36" s="120"/>
      <c r="CA36" s="120"/>
    </row>
    <row r="37" spans="2:84" ht="19" hidden="1" thickTop="1" x14ac:dyDescent="0.2">
      <c r="BC37" s="2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120"/>
      <c r="BW37" s="120"/>
      <c r="BX37" s="120"/>
      <c r="BY37" s="120"/>
      <c r="BZ37" s="120"/>
      <c r="CA37" s="120"/>
    </row>
    <row r="38" spans="2:84" ht="19" hidden="1" thickTop="1" x14ac:dyDescent="0.2">
      <c r="BC38" s="2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</row>
    <row r="39" spans="2:84" s="54" customFormat="1" ht="20" hidden="1" thickTop="1" thickBot="1" x14ac:dyDescent="0.25">
      <c r="L39" s="235"/>
      <c r="M39" s="286"/>
      <c r="N39" s="286"/>
      <c r="O39" s="286"/>
      <c r="P39" s="55"/>
      <c r="Q39" s="55"/>
      <c r="R39" s="55"/>
      <c r="S39" s="55"/>
      <c r="T39" s="55"/>
      <c r="U39" s="55"/>
      <c r="V39" s="56"/>
      <c r="W39" s="56"/>
      <c r="X39" s="56"/>
      <c r="BB39"/>
      <c r="BC39" s="128"/>
      <c r="BD39" s="187" t="b">
        <f>IF(BG66=-4,-7)</f>
        <v>0</v>
      </c>
      <c r="BE39" s="147"/>
      <c r="BF39" s="147"/>
      <c r="BG39" s="147"/>
      <c r="BH39" s="147"/>
      <c r="BI39" s="147"/>
      <c r="BJ39" s="190" t="b">
        <f>IF(BG66=-4,-1)</f>
        <v>0</v>
      </c>
      <c r="BK39" s="55"/>
      <c r="BL39" s="55"/>
      <c r="BM39" s="55"/>
      <c r="BN39" s="55"/>
      <c r="BO39" s="55"/>
      <c r="BP39" s="55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/>
      <c r="CC39"/>
      <c r="CD39"/>
      <c r="CE39"/>
      <c r="CF39"/>
    </row>
    <row r="40" spans="2:84" ht="20" hidden="1" thickTop="1" thickBot="1" x14ac:dyDescent="0.25">
      <c r="L40" s="27"/>
      <c r="M40" s="30"/>
      <c r="N40" s="30"/>
      <c r="O40" s="30"/>
      <c r="P40" s="4"/>
      <c r="Q40" s="4"/>
      <c r="R40" s="4"/>
      <c r="S40" s="4"/>
      <c r="T40" s="4"/>
      <c r="U40" s="4"/>
      <c r="V40" s="3"/>
      <c r="W40" s="3"/>
      <c r="X40" s="3"/>
      <c r="BC40" s="128"/>
      <c r="BD40" s="191" t="b">
        <f>IF(BF66=-5,-7)</f>
        <v>0</v>
      </c>
      <c r="BE40" s="188"/>
      <c r="BF40" s="188"/>
      <c r="BG40" s="188"/>
      <c r="BH40" s="189" t="b">
        <f>IF(BF66=-5,-3)</f>
        <v>0</v>
      </c>
      <c r="BI40" s="55"/>
      <c r="BJ40" s="55"/>
      <c r="BK40" s="55"/>
      <c r="BL40" s="55"/>
      <c r="BM40" s="55"/>
      <c r="BN40" s="55"/>
      <c r="BO40" s="55"/>
      <c r="BP40" s="55"/>
      <c r="BQ40" s="120"/>
      <c r="BR40" s="120"/>
      <c r="BS40" s="179" t="b">
        <f>IF(BW66=-3,7)</f>
        <v>0</v>
      </c>
      <c r="BT40" s="180"/>
      <c r="BU40" s="180"/>
      <c r="BV40" s="180"/>
      <c r="BW40" s="180"/>
      <c r="BX40" s="180"/>
      <c r="BY40" s="180"/>
      <c r="BZ40" s="181"/>
      <c r="CA40" s="182" t="b">
        <f>IF(BW66=-3,-7)</f>
        <v>0</v>
      </c>
    </row>
    <row r="41" spans="2:84" ht="20" hidden="1" thickTop="1" thickBot="1" x14ac:dyDescent="0.25">
      <c r="L41" s="27"/>
      <c r="M41" s="30"/>
      <c r="N41" s="30"/>
      <c r="O41" s="30"/>
      <c r="P41" s="4"/>
      <c r="Q41" s="4"/>
      <c r="R41" s="4"/>
      <c r="S41" s="4"/>
      <c r="T41" s="4"/>
      <c r="U41" s="4"/>
      <c r="V41" s="3"/>
      <c r="W41" s="3"/>
      <c r="X41" s="3"/>
      <c r="BC41" s="128"/>
      <c r="BD41" s="191" t="b">
        <f>IF(BE66=-6,-7)</f>
        <v>0</v>
      </c>
      <c r="BE41" s="188"/>
      <c r="BF41" s="189" t="b">
        <f>IF(BE66=-6,-5)</f>
        <v>0</v>
      </c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179" t="b">
        <f>IF(BV66=-2,61)</f>
        <v>0</v>
      </c>
      <c r="BR41" s="181"/>
      <c r="BS41" s="180"/>
      <c r="BT41" s="180"/>
      <c r="BU41" s="180"/>
      <c r="BV41" s="180"/>
      <c r="BW41" s="180"/>
      <c r="BX41" s="180"/>
      <c r="BY41" s="180"/>
      <c r="BZ41" s="181"/>
      <c r="CA41" s="182" t="b">
        <f>IF(BV66=-2,-7)</f>
        <v>0</v>
      </c>
    </row>
    <row r="42" spans="2:84" ht="19" hidden="1" thickTop="1" x14ac:dyDescent="0.2">
      <c r="L42" s="27"/>
      <c r="M42" s="30"/>
      <c r="N42" s="30"/>
      <c r="O42" s="30"/>
      <c r="P42" s="4"/>
      <c r="Q42" s="4"/>
      <c r="R42" s="4"/>
      <c r="S42" s="4"/>
      <c r="T42" s="4"/>
      <c r="U42" s="4"/>
      <c r="V42" s="3"/>
      <c r="W42" s="3"/>
      <c r="X42" s="3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120"/>
      <c r="BR42" s="120"/>
      <c r="BS42" s="120"/>
      <c r="BT42" s="120"/>
      <c r="BU42" s="120"/>
      <c r="BV42" s="120"/>
      <c r="BW42" s="55"/>
      <c r="BX42" s="55"/>
      <c r="BY42" s="55"/>
      <c r="BZ42" s="55"/>
      <c r="CA42" s="55"/>
    </row>
    <row r="43" spans="2:84" ht="19" hidden="1" thickTop="1" x14ac:dyDescent="0.2">
      <c r="C43" s="6"/>
      <c r="L43" s="27"/>
      <c r="M43" s="30"/>
      <c r="N43" s="30"/>
      <c r="O43" s="30"/>
      <c r="P43" s="4"/>
      <c r="Q43" s="4"/>
      <c r="R43" s="4"/>
      <c r="S43" s="4"/>
      <c r="T43" s="4"/>
      <c r="U43" s="4"/>
      <c r="V43" s="3"/>
      <c r="W43" s="3"/>
      <c r="X43" s="3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192"/>
    </row>
    <row r="44" spans="2:84" ht="20" thickTop="1" thickBot="1" x14ac:dyDescent="0.25">
      <c r="L44" s="27"/>
      <c r="M44" s="30"/>
      <c r="N44" s="30"/>
      <c r="O44" s="30"/>
      <c r="P44" s="4"/>
      <c r="Q44" s="4"/>
      <c r="R44" s="4"/>
      <c r="S44" s="4"/>
      <c r="T44" s="4"/>
      <c r="U44" s="4"/>
      <c r="V44" s="3"/>
      <c r="W44" s="3"/>
      <c r="X44" s="3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192"/>
    </row>
    <row r="45" spans="2:84" ht="19" hidden="1" thickBot="1" x14ac:dyDescent="0.25">
      <c r="L45" s="27"/>
      <c r="M45" s="30"/>
      <c r="N45" s="30"/>
      <c r="O45" s="30"/>
      <c r="P45" s="4"/>
      <c r="Q45" s="4"/>
      <c r="R45" s="4"/>
      <c r="S45" s="4"/>
      <c r="T45" s="4"/>
      <c r="U45" s="4"/>
      <c r="V45" s="3"/>
      <c r="W45" s="3"/>
      <c r="X45" s="3"/>
      <c r="BC45" s="193"/>
      <c r="BD45" s="194">
        <f t="shared" ref="BD45:BU45" si="0">SUM(BD22:BD41)</f>
        <v>0</v>
      </c>
      <c r="BE45" s="195">
        <f t="shared" si="0"/>
        <v>0</v>
      </c>
      <c r="BF45" s="195">
        <f t="shared" si="0"/>
        <v>0</v>
      </c>
      <c r="BG45" s="195">
        <f t="shared" si="0"/>
        <v>0</v>
      </c>
      <c r="BH45" s="195">
        <f t="shared" si="0"/>
        <v>-3</v>
      </c>
      <c r="BI45" s="195">
        <f t="shared" si="0"/>
        <v>0</v>
      </c>
      <c r="BJ45" s="195">
        <f t="shared" si="0"/>
        <v>0</v>
      </c>
      <c r="BK45" s="195">
        <f t="shared" si="0"/>
        <v>0</v>
      </c>
      <c r="BL45" s="195">
        <f t="shared" si="0"/>
        <v>0</v>
      </c>
      <c r="BM45" s="195">
        <f t="shared" si="0"/>
        <v>0</v>
      </c>
      <c r="BN45" s="195">
        <f t="shared" si="0"/>
        <v>0</v>
      </c>
      <c r="BO45" s="195">
        <f>SUM(BO22:BO41)</f>
        <v>0</v>
      </c>
      <c r="BP45" s="195">
        <f t="shared" si="0"/>
        <v>0</v>
      </c>
      <c r="BQ45" s="195">
        <f>SUM(BQ22:BQ41)</f>
        <v>0</v>
      </c>
      <c r="BR45" s="195">
        <f t="shared" si="0"/>
        <v>0</v>
      </c>
      <c r="BS45" s="195">
        <f t="shared" si="0"/>
        <v>0</v>
      </c>
      <c r="BT45" s="195">
        <f t="shared" si="0"/>
        <v>8</v>
      </c>
      <c r="BU45" s="195">
        <f t="shared" si="0"/>
        <v>0</v>
      </c>
      <c r="BV45" s="195">
        <f t="shared" ref="BV45:CA45" si="1">SUM(BV21:BV41)</f>
        <v>0</v>
      </c>
      <c r="BW45" s="195">
        <f t="shared" si="1"/>
        <v>0</v>
      </c>
      <c r="BX45" s="195">
        <f t="shared" si="1"/>
        <v>0</v>
      </c>
      <c r="BY45" s="195">
        <f t="shared" si="1"/>
        <v>0</v>
      </c>
      <c r="BZ45" s="195">
        <f t="shared" si="1"/>
        <v>0</v>
      </c>
      <c r="CA45" s="196">
        <f t="shared" si="1"/>
        <v>0</v>
      </c>
    </row>
    <row r="46" spans="2:84" ht="45.75" customHeight="1" thickBot="1" x14ac:dyDescent="0.3">
      <c r="C46" s="6"/>
      <c r="D46" s="99" t="str">
        <f>IF(BC78&gt;0," ","change the angle of frame")</f>
        <v xml:space="preserve"> </v>
      </c>
      <c r="L46" s="27"/>
      <c r="M46" s="30"/>
      <c r="N46" s="30"/>
      <c r="O46" s="30"/>
      <c r="P46" s="4"/>
      <c r="Q46" s="4"/>
      <c r="R46" s="4"/>
      <c r="S46" s="4"/>
      <c r="T46" s="4"/>
      <c r="U46" s="4"/>
      <c r="V46" s="3"/>
      <c r="W46" s="3"/>
      <c r="X46" s="3"/>
      <c r="BC46" s="193" t="s">
        <v>67</v>
      </c>
      <c r="BD46" s="238" t="str">
        <f>IF(BD45=-7,"A ","")</f>
        <v/>
      </c>
      <c r="BE46" s="239" t="str">
        <f>IF(BE45=-6,"B ","")</f>
        <v/>
      </c>
      <c r="BF46" s="239" t="str">
        <f>IF(BF45=-5,"C ","")</f>
        <v/>
      </c>
      <c r="BG46" s="239" t="str">
        <f>IF(BG45=-4,"D ","")</f>
        <v/>
      </c>
      <c r="BH46" s="239" t="str">
        <f>IF(BH45=-3,"E ","")</f>
        <v xml:space="preserve">E </v>
      </c>
      <c r="BI46" s="239" t="str">
        <f>IF(BI45=-2,"F ","")</f>
        <v/>
      </c>
      <c r="BJ46" s="239" t="str">
        <f>IF(BJ45=-1,"G ","")</f>
        <v/>
      </c>
      <c r="BK46" s="239">
        <f t="shared" ref="BK46:BP46" si="2">+BK45</f>
        <v>0</v>
      </c>
      <c r="BL46" s="239">
        <f t="shared" si="2"/>
        <v>0</v>
      </c>
      <c r="BM46" s="239">
        <f t="shared" si="2"/>
        <v>0</v>
      </c>
      <c r="BN46" s="239">
        <f t="shared" si="2"/>
        <v>0</v>
      </c>
      <c r="BO46" s="239">
        <f t="shared" si="2"/>
        <v>0</v>
      </c>
      <c r="BP46" s="239">
        <f t="shared" si="2"/>
        <v>0</v>
      </c>
      <c r="BQ46" s="239" t="str">
        <f>IF(BQ45=61,"N ","")</f>
        <v/>
      </c>
      <c r="BR46" s="239" t="str">
        <f>IF(BR45=62,"M","")</f>
        <v/>
      </c>
      <c r="BS46" s="239">
        <f>+BS45</f>
        <v>0</v>
      </c>
      <c r="BT46" s="239">
        <f>+BT45</f>
        <v>8</v>
      </c>
      <c r="BU46" s="239" t="str">
        <f>IF(BU45=-1,"R","")</f>
        <v/>
      </c>
      <c r="BV46" s="239" t="str">
        <f>IF(BV45=-2,"S","")</f>
        <v/>
      </c>
      <c r="BW46" s="239" t="str">
        <f>IF(BW45=-3,"T ","")</f>
        <v/>
      </c>
      <c r="BX46" s="239" t="str">
        <f>IF(BX45=-4,"U ","")</f>
        <v/>
      </c>
      <c r="BY46" s="239" t="str">
        <f>IF(BY45=-5,"V ","")</f>
        <v/>
      </c>
      <c r="BZ46" s="239" t="str">
        <f>IF(BZ45=-6,"W ","")</f>
        <v/>
      </c>
      <c r="CA46" s="240" t="str">
        <f>IF(CA45=-7,"X ","")</f>
        <v/>
      </c>
    </row>
    <row r="47" spans="2:84" ht="19" hidden="1" thickBot="1" x14ac:dyDescent="0.25">
      <c r="C47" s="6"/>
      <c r="L47" s="27"/>
      <c r="M47" s="30"/>
      <c r="N47" s="30"/>
      <c r="O47" s="30"/>
      <c r="P47" s="4"/>
      <c r="Q47" s="4"/>
      <c r="R47" s="4"/>
      <c r="S47" s="4"/>
      <c r="T47" s="4"/>
      <c r="U47" s="4"/>
      <c r="V47" s="3"/>
      <c r="W47" s="3"/>
      <c r="X47" s="3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197"/>
      <c r="BX47" s="197"/>
      <c r="BY47" s="197"/>
      <c r="BZ47" s="197"/>
      <c r="CA47" s="211"/>
    </row>
    <row r="48" spans="2:84" ht="45.75" customHeight="1" thickBot="1" x14ac:dyDescent="0.25">
      <c r="B48" s="280" t="s">
        <v>59</v>
      </c>
      <c r="D48" s="99" t="str">
        <f>IF(CB78&lt;0," ","change the angle of frame")</f>
        <v xml:space="preserve"> </v>
      </c>
      <c r="L48" s="27"/>
      <c r="M48" s="30"/>
      <c r="N48" s="30"/>
      <c r="O48" s="30"/>
      <c r="P48" s="4"/>
      <c r="Q48" s="4"/>
      <c r="R48" s="4"/>
      <c r="S48" s="4"/>
      <c r="T48" s="4"/>
      <c r="U48" s="4"/>
      <c r="V48" s="3"/>
      <c r="W48" s="3"/>
      <c r="X48" s="3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01"/>
      <c r="BV48" s="25"/>
      <c r="BW48" s="197"/>
      <c r="BX48" s="197"/>
      <c r="BY48" s="197"/>
      <c r="BZ48" s="197"/>
      <c r="CA48" s="62"/>
    </row>
    <row r="49" spans="2:82" ht="51" customHeight="1" thickBot="1" x14ac:dyDescent="0.25">
      <c r="B49" s="281"/>
      <c r="C49" s="157"/>
      <c r="D49" s="99" t="str">
        <f>IF(BC78&gt;(+COS(($B$50*-1)*3.14159265358979/180)*279.5)," ","USE EXBAR SCPF AT THE FRONT")</f>
        <v xml:space="preserve"> </v>
      </c>
      <c r="L49" s="27"/>
      <c r="M49" s="30"/>
      <c r="N49" s="30"/>
      <c r="O49" s="30"/>
      <c r="P49" s="4"/>
      <c r="Q49" s="4"/>
      <c r="R49" s="4"/>
      <c r="S49" s="4"/>
      <c r="T49" s="4"/>
      <c r="U49" s="4"/>
      <c r="V49" s="3"/>
      <c r="W49" s="3"/>
      <c r="X49" s="3"/>
      <c r="BC49" s="198" t="s">
        <v>23</v>
      </c>
      <c r="BD49" s="169"/>
      <c r="BE49" s="170"/>
      <c r="BF49" s="170"/>
      <c r="BG49" s="170"/>
      <c r="BH49" s="170"/>
      <c r="BI49" s="170"/>
      <c r="BJ49" s="170"/>
      <c r="BK49" s="226" t="s">
        <v>24</v>
      </c>
      <c r="BL49" s="199"/>
      <c r="BM49" s="199"/>
      <c r="BN49" s="199"/>
      <c r="BO49" s="199"/>
      <c r="BP49" s="199"/>
      <c r="BQ49" s="199"/>
      <c r="BR49" s="199"/>
      <c r="BS49" s="199"/>
      <c r="BT49" s="200" t="s">
        <v>25</v>
      </c>
      <c r="BU49" s="287"/>
      <c r="BV49" s="288"/>
      <c r="BW49" s="288"/>
      <c r="BX49" s="288"/>
      <c r="BY49" s="288"/>
      <c r="BZ49" s="288"/>
      <c r="CA49" s="289"/>
    </row>
    <row r="50" spans="2:82" ht="45.75" customHeight="1" thickBot="1" x14ac:dyDescent="0.3">
      <c r="B50" s="133">
        <v>0</v>
      </c>
      <c r="C50" s="157"/>
      <c r="D50" s="162" t="str">
        <f>IF(CB78&lt;-(+COS(($B$50*-1)*3.14159265358979/180)*279.5)," ","USE EXBAR SCPF AT THE BACK")</f>
        <v xml:space="preserve"> </v>
      </c>
      <c r="L50" s="27"/>
      <c r="M50" s="30"/>
      <c r="N50" s="30"/>
      <c r="O50" s="30"/>
      <c r="P50" s="4"/>
      <c r="Q50" s="4"/>
      <c r="R50" s="4"/>
      <c r="S50" s="4"/>
      <c r="T50" s="4"/>
      <c r="U50" s="4"/>
      <c r="V50" s="3"/>
      <c r="W50" s="3"/>
      <c r="X50" s="3"/>
      <c r="AZ50" s="242" t="s">
        <v>88</v>
      </c>
      <c r="BA50" s="244">
        <f>+MAX(BB11,BB8,BB50)</f>
        <v>819.39138504468872</v>
      </c>
      <c r="BB50" s="241">
        <f>+IF(AND(BS50&gt;0,BK50&gt;0),BK50)</f>
        <v>660.87357341278005</v>
      </c>
      <c r="BC50" s="202" t="s">
        <v>65</v>
      </c>
      <c r="BD50" s="175"/>
      <c r="BE50" s="176"/>
      <c r="BF50" s="176"/>
      <c r="BG50" s="176"/>
      <c r="BH50" s="176"/>
      <c r="BI50" s="176"/>
      <c r="BJ50" s="176"/>
      <c r="BK50" s="301">
        <f>+((E17-E18)/E17)*D23</f>
        <v>660.87357341278005</v>
      </c>
      <c r="BL50" s="302"/>
      <c r="BM50" s="227"/>
      <c r="BN50" s="227"/>
      <c r="BO50" s="227"/>
      <c r="BP50" s="227"/>
      <c r="BQ50" s="227"/>
      <c r="BR50" s="227"/>
      <c r="BS50" s="303">
        <f>+(E18/E17)*D23</f>
        <v>362.32642658721994</v>
      </c>
      <c r="BT50" s="304"/>
      <c r="BU50" s="290"/>
      <c r="BV50" s="291"/>
      <c r="BW50" s="291"/>
      <c r="BX50" s="291"/>
      <c r="BY50" s="291"/>
      <c r="BZ50" s="291"/>
      <c r="CA50" s="292"/>
      <c r="CB50" s="243">
        <f>+IF(AND(BK50&gt;0,BS50&gt;0),BS50)</f>
        <v>362.32642658721994</v>
      </c>
      <c r="CC50" s="244">
        <f>+MAX(CB11,CB8,CB50)</f>
        <v>651.45861495531119</v>
      </c>
      <c r="CD50" s="242" t="s">
        <v>89</v>
      </c>
    </row>
    <row r="51" spans="2:82" ht="12.75" customHeight="1" thickBot="1" x14ac:dyDescent="0.25">
      <c r="L51" s="27"/>
      <c r="M51" s="30"/>
      <c r="N51" s="30"/>
      <c r="O51" s="30"/>
      <c r="P51" s="4"/>
      <c r="Q51" s="4"/>
      <c r="R51" s="4"/>
      <c r="S51" s="4"/>
      <c r="T51" s="4"/>
      <c r="U51" s="4"/>
      <c r="V51" s="3"/>
      <c r="W51" s="3"/>
      <c r="X51" s="3"/>
      <c r="BC51" s="201"/>
      <c r="BD51" s="201"/>
      <c r="BE51" s="204"/>
      <c r="BF51" s="201"/>
      <c r="BG51" s="201"/>
      <c r="BH51" s="201"/>
      <c r="BI51" s="204"/>
      <c r="BJ51" s="201"/>
      <c r="BK51" s="201"/>
      <c r="BL51" s="201"/>
      <c r="BM51" s="201"/>
      <c r="BN51" s="201"/>
      <c r="BO51" s="201"/>
      <c r="BP51" s="201"/>
      <c r="BQ51" s="201"/>
      <c r="BR51" s="55"/>
      <c r="BS51" s="201"/>
      <c r="BT51" s="201"/>
      <c r="BU51" s="201"/>
      <c r="BV51" s="55"/>
      <c r="BW51" s="197"/>
      <c r="BX51" s="197"/>
      <c r="BY51" s="197"/>
      <c r="BZ51" s="197"/>
      <c r="CA51" s="62"/>
      <c r="CB51" s="7"/>
      <c r="CC51" s="7"/>
      <c r="CD51" s="7"/>
    </row>
    <row r="52" spans="2:82" ht="21" hidden="1" customHeight="1" x14ac:dyDescent="0.2">
      <c r="L52" s="27"/>
      <c r="M52" s="30"/>
      <c r="N52" s="30"/>
      <c r="O52" s="30"/>
      <c r="P52" s="4"/>
      <c r="Q52" s="4"/>
      <c r="R52" s="4"/>
      <c r="S52" s="4"/>
      <c r="T52" s="4"/>
      <c r="U52" s="4"/>
      <c r="V52" s="3"/>
      <c r="W52" s="3"/>
      <c r="X52" s="3"/>
      <c r="BC52" s="201"/>
      <c r="BD52" s="201"/>
      <c r="BE52" s="204"/>
      <c r="BF52" s="201"/>
      <c r="BG52" s="201"/>
      <c r="BH52" s="201"/>
      <c r="BI52" s="204"/>
      <c r="BJ52" s="201"/>
      <c r="BK52" s="201"/>
      <c r="BL52" s="201"/>
      <c r="BM52" s="201"/>
      <c r="BN52" s="201"/>
      <c r="BO52" s="201"/>
      <c r="BP52" s="201"/>
      <c r="BQ52" s="201"/>
      <c r="BR52" s="55"/>
      <c r="BS52" s="201"/>
      <c r="BT52" s="55"/>
      <c r="BU52" s="201"/>
      <c r="BV52" s="55"/>
      <c r="BW52" s="197"/>
      <c r="BX52" s="197"/>
      <c r="BY52" s="197"/>
      <c r="BZ52" s="197"/>
      <c r="CA52" s="62"/>
    </row>
    <row r="53" spans="2:82" ht="21" hidden="1" customHeight="1" x14ac:dyDescent="0.2">
      <c r="L53" s="27"/>
      <c r="M53" s="30"/>
      <c r="N53" s="30"/>
      <c r="O53" s="30"/>
      <c r="P53" s="4"/>
      <c r="Q53" s="4"/>
      <c r="R53" s="4"/>
      <c r="S53" s="4"/>
      <c r="T53" s="4"/>
      <c r="U53" s="4"/>
      <c r="V53" s="3"/>
      <c r="W53" s="3"/>
      <c r="X53" s="3"/>
      <c r="BC53" s="201"/>
      <c r="BD53" s="201"/>
      <c r="BE53" s="204"/>
      <c r="BF53" s="201"/>
      <c r="BG53" s="201"/>
      <c r="BH53" s="201"/>
      <c r="BI53" s="204"/>
      <c r="BJ53" s="201"/>
      <c r="BK53" s="201"/>
      <c r="BL53" s="201"/>
      <c r="BM53" s="201"/>
      <c r="BN53" s="55"/>
      <c r="BO53" s="201"/>
      <c r="BP53" s="201"/>
      <c r="BQ53" s="201"/>
      <c r="BR53" s="201"/>
      <c r="BS53" s="201"/>
      <c r="BT53" s="201"/>
      <c r="BU53" s="201"/>
      <c r="BV53" s="55"/>
      <c r="BW53" s="197"/>
      <c r="BX53" s="197"/>
      <c r="BY53" s="197"/>
      <c r="BZ53" s="197"/>
      <c r="CA53" s="62"/>
    </row>
    <row r="54" spans="2:82" ht="21" hidden="1" customHeight="1" thickBot="1" x14ac:dyDescent="0.25">
      <c r="L54" s="27"/>
      <c r="M54" s="30"/>
      <c r="N54" s="30"/>
      <c r="O54" s="30"/>
      <c r="P54" s="4"/>
      <c r="Q54" s="4"/>
      <c r="R54" s="4"/>
      <c r="S54" s="4"/>
      <c r="T54" s="4"/>
      <c r="U54" s="4"/>
      <c r="V54" s="3"/>
      <c r="W54" s="3"/>
      <c r="X54" s="3"/>
      <c r="BC54" s="201"/>
      <c r="BD54" s="201"/>
      <c r="BE54" s="204"/>
      <c r="BF54" s="201"/>
      <c r="BG54" s="201"/>
      <c r="BH54" s="201"/>
      <c r="BI54" s="204"/>
      <c r="BJ54" s="201"/>
      <c r="BK54" s="201"/>
      <c r="BL54" s="55"/>
      <c r="BM54" s="201"/>
      <c r="BN54" s="201"/>
      <c r="BO54" s="201"/>
      <c r="BP54" s="201"/>
      <c r="BQ54" s="201"/>
      <c r="BR54" s="201"/>
      <c r="BS54" s="201"/>
      <c r="BT54" s="201"/>
      <c r="BU54" s="201"/>
      <c r="BV54" s="55"/>
      <c r="BW54" s="197"/>
      <c r="BX54" s="197"/>
      <c r="BY54" s="197"/>
      <c r="BZ54" s="197"/>
      <c r="CA54" s="62"/>
    </row>
    <row r="55" spans="2:82" ht="21" hidden="1" customHeight="1" thickBot="1" x14ac:dyDescent="0.25">
      <c r="L55" s="27"/>
      <c r="M55" s="30"/>
      <c r="N55" s="30"/>
      <c r="O55" s="30"/>
      <c r="P55" s="4"/>
      <c r="Q55" s="4"/>
      <c r="R55" s="4"/>
      <c r="S55" s="4"/>
      <c r="T55" s="4"/>
      <c r="U55" s="4"/>
      <c r="V55" s="3"/>
      <c r="W55" s="3"/>
      <c r="X55" s="3"/>
      <c r="BC55" s="201"/>
      <c r="BD55" s="201"/>
      <c r="BE55" s="204"/>
      <c r="BF55" s="201"/>
      <c r="BG55" s="201"/>
      <c r="BH55" s="201"/>
      <c r="BI55" s="204"/>
      <c r="BJ55" s="25"/>
      <c r="BK55" s="201"/>
      <c r="BL55" s="201"/>
      <c r="BM55" s="201"/>
      <c r="BN55" s="203"/>
      <c r="BO55" s="203"/>
      <c r="BP55" s="187" t="b">
        <f>IF(BR66=62,6)</f>
        <v>0</v>
      </c>
      <c r="BQ55" s="205"/>
      <c r="BR55" s="205"/>
      <c r="BS55" s="205"/>
      <c r="BT55" s="190" t="b">
        <f>IF(BR66=62,8)</f>
        <v>0</v>
      </c>
      <c r="BU55" s="201"/>
      <c r="BV55" s="25"/>
      <c r="BW55" s="197"/>
      <c r="BX55" s="197"/>
      <c r="BY55" s="197"/>
      <c r="BZ55" s="197"/>
      <c r="CA55" s="62"/>
    </row>
    <row r="56" spans="2:82" ht="21" hidden="1" customHeight="1" thickBot="1" x14ac:dyDescent="0.25">
      <c r="L56" s="27"/>
      <c r="M56" s="30"/>
      <c r="N56" s="30"/>
      <c r="O56" s="30"/>
      <c r="P56" s="4"/>
      <c r="Q56" s="4"/>
      <c r="R56" s="4"/>
      <c r="S56" s="4"/>
      <c r="T56" s="4"/>
      <c r="U56" s="4"/>
      <c r="V56" s="3"/>
      <c r="W56" s="3"/>
      <c r="X56" s="3"/>
      <c r="BC56" s="201"/>
      <c r="BD56" s="201"/>
      <c r="BE56" s="204"/>
      <c r="BF56" s="201"/>
      <c r="BG56" s="201"/>
      <c r="BH56" s="201"/>
      <c r="BI56" s="25"/>
      <c r="BJ56" s="201"/>
      <c r="BK56" s="201"/>
      <c r="BL56" s="201"/>
      <c r="BM56" s="201"/>
      <c r="BN56" s="187" t="b">
        <f>IF(BQ66=61,4)</f>
        <v>0</v>
      </c>
      <c r="BO56" s="205"/>
      <c r="BP56" s="205"/>
      <c r="BQ56" s="205"/>
      <c r="BR56" s="205"/>
      <c r="BS56" s="205"/>
      <c r="BT56" s="190" t="b">
        <f>IF(BQ66=61,8)</f>
        <v>0</v>
      </c>
      <c r="BU56" s="62"/>
      <c r="BV56" s="204"/>
      <c r="BW56" s="197"/>
      <c r="BX56" s="197"/>
      <c r="BY56" s="197"/>
      <c r="BZ56" s="197"/>
      <c r="CA56" s="62"/>
    </row>
    <row r="57" spans="2:82" ht="21" hidden="1" customHeight="1" thickBot="1" x14ac:dyDescent="0.25">
      <c r="L57" s="27"/>
      <c r="M57" s="30"/>
      <c r="N57" s="30"/>
      <c r="O57" s="30"/>
      <c r="P57" s="4"/>
      <c r="Q57" s="4"/>
      <c r="R57" s="4"/>
      <c r="S57" s="4"/>
      <c r="T57" s="4"/>
      <c r="U57" s="4"/>
      <c r="V57" s="3"/>
      <c r="W57" s="3"/>
      <c r="X57" s="3"/>
      <c r="BC57" s="201"/>
      <c r="BD57" s="201"/>
      <c r="BE57" s="204"/>
      <c r="BF57" s="201"/>
      <c r="BG57" s="201"/>
      <c r="BH57" s="201"/>
      <c r="BI57" s="25"/>
      <c r="BJ57" s="201"/>
      <c r="BK57" s="203"/>
      <c r="BL57" s="187" t="b">
        <f>IF(BP66=6,2)</f>
        <v>0</v>
      </c>
      <c r="BM57" s="205"/>
      <c r="BN57" s="205"/>
      <c r="BO57" s="205"/>
      <c r="BP57" s="205"/>
      <c r="BQ57" s="205"/>
      <c r="BR57" s="205"/>
      <c r="BS57" s="146"/>
      <c r="BT57" s="190" t="b">
        <f>IF(BP66=6,8)</f>
        <v>0</v>
      </c>
      <c r="BU57" s="201"/>
      <c r="BV57" s="204"/>
      <c r="BW57" s="197"/>
      <c r="BX57" s="197"/>
      <c r="BY57" s="197"/>
      <c r="BZ57" s="197"/>
      <c r="CA57" s="62"/>
    </row>
    <row r="58" spans="2:82" ht="21" hidden="1" customHeight="1" thickBot="1" x14ac:dyDescent="0.25">
      <c r="L58" s="27"/>
      <c r="M58" s="30"/>
      <c r="N58" s="30"/>
      <c r="O58" s="30"/>
      <c r="P58" s="4"/>
      <c r="Q58" s="4"/>
      <c r="R58" s="4"/>
      <c r="S58" s="4"/>
      <c r="T58" s="4"/>
      <c r="U58" s="4"/>
      <c r="V58" s="3"/>
      <c r="W58" s="3"/>
      <c r="X58" s="3"/>
      <c r="BC58" s="201"/>
      <c r="BD58" s="201"/>
      <c r="BE58" s="204"/>
      <c r="BF58" s="201"/>
      <c r="BG58" s="201"/>
      <c r="BH58" s="201"/>
      <c r="BI58" s="204"/>
      <c r="BJ58" s="201"/>
      <c r="BK58" s="187" t="b">
        <f>IF(BO66=5,1)</f>
        <v>0</v>
      </c>
      <c r="BL58" s="146"/>
      <c r="BM58" s="205"/>
      <c r="BN58" s="146"/>
      <c r="BO58" s="205"/>
      <c r="BP58" s="205"/>
      <c r="BQ58" s="205"/>
      <c r="BR58" s="205"/>
      <c r="BS58" s="190" t="b">
        <f>IF(BO66=5,7)</f>
        <v>0</v>
      </c>
      <c r="BT58" s="201"/>
      <c r="BU58" s="201"/>
      <c r="BV58" s="204"/>
      <c r="BW58" s="197"/>
      <c r="BX58" s="197"/>
      <c r="BY58" s="197"/>
      <c r="BZ58" s="197"/>
      <c r="CA58" s="62"/>
    </row>
    <row r="59" spans="2:82" ht="21" hidden="1" customHeight="1" thickBot="1" x14ac:dyDescent="0.25">
      <c r="L59" s="27"/>
      <c r="M59" s="30"/>
      <c r="N59" s="30"/>
      <c r="O59" s="30"/>
      <c r="P59" s="4"/>
      <c r="Q59" s="4"/>
      <c r="R59" s="4"/>
      <c r="S59" s="4"/>
      <c r="T59" s="4"/>
      <c r="U59" s="4"/>
      <c r="V59" s="3"/>
      <c r="W59" s="3"/>
      <c r="X59" s="3"/>
      <c r="BC59" s="201"/>
      <c r="BD59" s="201"/>
      <c r="BE59" s="204"/>
      <c r="BF59" s="201"/>
      <c r="BG59" s="201"/>
      <c r="BH59" s="201"/>
      <c r="BI59" s="204"/>
      <c r="BJ59" s="25"/>
      <c r="BK59" s="25"/>
      <c r="BL59" s="191">
        <f>IF(BN66=4,2)</f>
        <v>2</v>
      </c>
      <c r="BM59" s="206"/>
      <c r="BN59" s="206"/>
      <c r="BO59" s="137"/>
      <c r="BP59" s="189">
        <f>IF(BN66=4,6)</f>
        <v>6</v>
      </c>
      <c r="BQ59" s="201"/>
      <c r="BR59" s="201"/>
      <c r="BS59" s="201"/>
      <c r="BT59" s="201"/>
      <c r="BU59" s="201"/>
      <c r="BV59" s="204"/>
      <c r="BW59" s="197"/>
      <c r="BX59" s="197"/>
      <c r="BY59" s="197"/>
      <c r="BZ59" s="197"/>
      <c r="CA59" s="62"/>
    </row>
    <row r="60" spans="2:82" ht="21" hidden="1" customHeight="1" thickBot="1" x14ac:dyDescent="0.25">
      <c r="L60" s="27"/>
      <c r="M60" s="30"/>
      <c r="N60" s="30"/>
      <c r="O60" s="30"/>
      <c r="P60" s="4"/>
      <c r="Q60" s="4"/>
      <c r="R60" s="4"/>
      <c r="S60" s="4"/>
      <c r="T60" s="4"/>
      <c r="U60" s="4"/>
      <c r="V60" s="3"/>
      <c r="W60" s="3"/>
      <c r="X60" s="3"/>
      <c r="BC60" s="201"/>
      <c r="BD60" s="201"/>
      <c r="BE60" s="204"/>
      <c r="BF60" s="201"/>
      <c r="BG60" s="201"/>
      <c r="BH60" s="201"/>
      <c r="BI60" s="25"/>
      <c r="BJ60" s="25"/>
      <c r="BK60" s="187" t="b">
        <f>IF(BM66=3,1)</f>
        <v>0</v>
      </c>
      <c r="BL60" s="206"/>
      <c r="BM60" s="206"/>
      <c r="BN60" s="206"/>
      <c r="BO60" s="189" t="b">
        <f>IF(BM66=3,5)</f>
        <v>0</v>
      </c>
      <c r="BP60" s="201"/>
      <c r="BQ60" s="201"/>
      <c r="BR60" s="201"/>
      <c r="BS60" s="201"/>
      <c r="BT60" s="201"/>
      <c r="BU60" s="201"/>
      <c r="BV60" s="204"/>
      <c r="BW60" s="197"/>
      <c r="BX60" s="197"/>
      <c r="BY60" s="197"/>
      <c r="BZ60" s="197"/>
      <c r="CA60" s="62"/>
    </row>
    <row r="61" spans="2:82" ht="21" hidden="1" customHeight="1" thickBot="1" x14ac:dyDescent="0.25">
      <c r="L61" s="27"/>
      <c r="M61" s="30"/>
      <c r="N61" s="30"/>
      <c r="O61" s="30"/>
      <c r="P61" s="4"/>
      <c r="Q61" s="4"/>
      <c r="R61" s="4"/>
      <c r="S61" s="4"/>
      <c r="T61" s="4"/>
      <c r="U61" s="4"/>
      <c r="V61" s="3"/>
      <c r="W61" s="3"/>
      <c r="X61" s="3"/>
      <c r="BC61" s="201"/>
      <c r="BD61" s="201"/>
      <c r="BE61" s="204"/>
      <c r="BF61" s="201"/>
      <c r="BG61" s="201"/>
      <c r="BH61" s="201"/>
      <c r="BI61" s="25"/>
      <c r="BJ61" s="25"/>
      <c r="BK61" s="191" t="b">
        <f>IF(BL66=2,1)</f>
        <v>0</v>
      </c>
      <c r="BL61" s="206"/>
      <c r="BM61" s="189" t="b">
        <f>IF(BL66=2,3)</f>
        <v>0</v>
      </c>
      <c r="BN61" s="201"/>
      <c r="BO61" s="201"/>
      <c r="BP61" s="201"/>
      <c r="BQ61" s="201"/>
      <c r="BR61" s="201"/>
      <c r="BS61" s="201"/>
      <c r="BT61" s="201"/>
      <c r="BU61" s="201"/>
      <c r="BV61" s="204"/>
      <c r="BW61" s="197"/>
      <c r="BX61" s="197"/>
      <c r="BY61" s="197"/>
      <c r="BZ61" s="197"/>
      <c r="CA61" s="62"/>
    </row>
    <row r="62" spans="2:82" ht="21" hidden="1" customHeight="1" x14ac:dyDescent="0.2">
      <c r="L62" s="27"/>
      <c r="M62" s="30"/>
      <c r="N62" s="30"/>
      <c r="O62" s="30"/>
      <c r="P62" s="4"/>
      <c r="Q62" s="4"/>
      <c r="R62" s="4"/>
      <c r="S62" s="4"/>
      <c r="T62" s="4"/>
      <c r="U62" s="4"/>
      <c r="V62" s="3"/>
      <c r="W62" s="3"/>
      <c r="X62" s="3"/>
      <c r="BC62" s="201"/>
      <c r="BD62" s="201"/>
      <c r="BE62" s="204"/>
      <c r="BF62" s="201"/>
      <c r="BG62" s="201"/>
      <c r="BH62" s="201"/>
      <c r="BI62" s="55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4"/>
      <c r="BW62" s="197"/>
      <c r="BX62" s="197"/>
      <c r="BY62" s="197"/>
      <c r="BZ62" s="197"/>
      <c r="CA62" s="62"/>
    </row>
    <row r="63" spans="2:82" ht="21" hidden="1" customHeight="1" thickBot="1" x14ac:dyDescent="0.25">
      <c r="L63" s="27"/>
      <c r="M63" s="30"/>
      <c r="N63" s="30"/>
      <c r="O63" s="30"/>
      <c r="P63" s="4"/>
      <c r="Q63" s="4"/>
      <c r="R63" s="4"/>
      <c r="S63" s="4"/>
      <c r="T63" s="4"/>
      <c r="U63" s="4"/>
      <c r="V63" s="3"/>
      <c r="W63" s="3"/>
      <c r="X63" s="3"/>
      <c r="BC63" s="201"/>
      <c r="BD63" s="201"/>
      <c r="BE63" s="204"/>
      <c r="BF63" s="201"/>
      <c r="BG63" s="201"/>
      <c r="BH63" s="201"/>
      <c r="BI63" s="55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4"/>
      <c r="BW63" s="197"/>
      <c r="BX63" s="197"/>
      <c r="BY63" s="197"/>
      <c r="BZ63" s="197"/>
      <c r="CA63" s="62"/>
    </row>
    <row r="64" spans="2:82" ht="38" thickBot="1" x14ac:dyDescent="0.3">
      <c r="L64" s="27"/>
      <c r="M64" s="30"/>
      <c r="N64" s="30"/>
      <c r="O64" s="30"/>
      <c r="P64" s="4"/>
      <c r="Q64" s="4"/>
      <c r="R64" s="4"/>
      <c r="S64" s="4"/>
      <c r="T64" s="4"/>
      <c r="U64" s="4"/>
      <c r="V64" s="3"/>
      <c r="W64" s="3"/>
      <c r="X64" s="3"/>
      <c r="BC64" s="207" t="s">
        <v>66</v>
      </c>
      <c r="BD64" s="208"/>
      <c r="BE64" s="209"/>
      <c r="BF64" s="208"/>
      <c r="BG64" s="208"/>
      <c r="BH64" s="208"/>
      <c r="BI64" s="208"/>
      <c r="BJ64" s="208"/>
      <c r="BK64" s="238">
        <f t="shared" ref="BK64:BT64" si="3">SUM(BK51:BK62)</f>
        <v>0</v>
      </c>
      <c r="BL64" s="239">
        <f t="shared" si="3"/>
        <v>2</v>
      </c>
      <c r="BM64" s="239">
        <f t="shared" si="3"/>
        <v>0</v>
      </c>
      <c r="BN64" s="239">
        <f t="shared" si="3"/>
        <v>0</v>
      </c>
      <c r="BO64" s="239">
        <f t="shared" si="3"/>
        <v>0</v>
      </c>
      <c r="BP64" s="239">
        <f t="shared" si="3"/>
        <v>6</v>
      </c>
      <c r="BQ64" s="239">
        <f t="shared" si="3"/>
        <v>0</v>
      </c>
      <c r="BR64" s="239">
        <f t="shared" si="3"/>
        <v>0</v>
      </c>
      <c r="BS64" s="239">
        <f t="shared" si="3"/>
        <v>0</v>
      </c>
      <c r="BT64" s="240">
        <f t="shared" si="3"/>
        <v>0</v>
      </c>
      <c r="BU64" s="307"/>
      <c r="BV64" s="308"/>
      <c r="BW64" s="308"/>
      <c r="BX64" s="308"/>
      <c r="BY64" s="308"/>
      <c r="BZ64" s="308"/>
      <c r="CA64" s="309"/>
    </row>
    <row r="65" spans="2:80" ht="19" thickBot="1" x14ac:dyDescent="0.25">
      <c r="L65" s="27"/>
      <c r="M65" s="30"/>
      <c r="N65" s="30"/>
      <c r="O65" s="30"/>
      <c r="P65" s="4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BC65" s="210"/>
      <c r="BD65" s="197"/>
      <c r="BE65" s="211"/>
      <c r="BF65" s="197"/>
      <c r="BG65" s="197"/>
      <c r="BH65" s="197"/>
      <c r="BI65" s="211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62"/>
    </row>
    <row r="66" spans="2:80" ht="18" hidden="1" x14ac:dyDescent="0.2">
      <c r="L66" s="27"/>
      <c r="M66" s="30"/>
      <c r="N66" s="30"/>
      <c r="O66" s="30"/>
      <c r="P66" s="4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BC66" s="55"/>
      <c r="BD66" s="228" t="b">
        <f>+AZ88</f>
        <v>0</v>
      </c>
      <c r="BE66" s="229" t="b">
        <f>+AZ89</f>
        <v>0</v>
      </c>
      <c r="BF66" s="229" t="b">
        <f>+AZ90</f>
        <v>0</v>
      </c>
      <c r="BG66" s="229" t="b">
        <f>+AZ91</f>
        <v>0</v>
      </c>
      <c r="BH66" s="229" t="b">
        <f>+AZ92</f>
        <v>0</v>
      </c>
      <c r="BI66" s="229" t="b">
        <f>+AZ93</f>
        <v>0</v>
      </c>
      <c r="BJ66" s="229" t="b">
        <f>+AZ94</f>
        <v>0</v>
      </c>
      <c r="BK66" s="229" t="b">
        <f>+AZ95</f>
        <v>0</v>
      </c>
      <c r="BL66" s="229" t="b">
        <f>+AZ96</f>
        <v>0</v>
      </c>
      <c r="BM66" s="229" t="b">
        <f>+AZ97</f>
        <v>0</v>
      </c>
      <c r="BN66" s="229">
        <f>+AZ98</f>
        <v>4</v>
      </c>
      <c r="BO66" s="229" t="b">
        <f>+AZ99</f>
        <v>0</v>
      </c>
      <c r="BP66" s="229" t="b">
        <f>+AZ100</f>
        <v>0</v>
      </c>
      <c r="BQ66" s="229" t="b">
        <f>+AZ101</f>
        <v>0</v>
      </c>
      <c r="BR66" s="229" t="b">
        <f>+AZ102</f>
        <v>0</v>
      </c>
      <c r="BS66" s="229" t="b">
        <f>+AZ103</f>
        <v>0</v>
      </c>
      <c r="BT66" s="229" t="b">
        <f>+AZ104</f>
        <v>0</v>
      </c>
      <c r="BU66" s="229" t="b">
        <f>+AZ105</f>
        <v>0</v>
      </c>
      <c r="BV66" s="229" t="b">
        <f>+AZ106</f>
        <v>0</v>
      </c>
      <c r="BW66" s="229" t="b">
        <f>+AZ107</f>
        <v>0</v>
      </c>
      <c r="BX66" s="229" t="b">
        <f>+AZ108</f>
        <v>0</v>
      </c>
      <c r="BY66" s="229" t="b">
        <f>+AZ109</f>
        <v>0</v>
      </c>
      <c r="BZ66" s="229" t="b">
        <f>+AZ110</f>
        <v>0</v>
      </c>
      <c r="CA66" s="230" t="b">
        <f>+AZ111</f>
        <v>0</v>
      </c>
    </row>
    <row r="67" spans="2:80" ht="19" hidden="1" thickBot="1" x14ac:dyDescent="0.25">
      <c r="L67" s="3"/>
      <c r="M67" s="2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2"/>
      <c r="AB67" s="3"/>
      <c r="BC67" s="62" t="s">
        <v>20</v>
      </c>
      <c r="BD67" s="231" t="b">
        <f t="shared" ref="BD67:CA67" si="4">+BD66</f>
        <v>0</v>
      </c>
      <c r="BE67" s="232" t="b">
        <f t="shared" si="4"/>
        <v>0</v>
      </c>
      <c r="BF67" s="232" t="b">
        <f t="shared" si="4"/>
        <v>0</v>
      </c>
      <c r="BG67" s="232" t="b">
        <f t="shared" si="4"/>
        <v>0</v>
      </c>
      <c r="BH67" s="232" t="b">
        <f t="shared" si="4"/>
        <v>0</v>
      </c>
      <c r="BI67" s="232" t="b">
        <f t="shared" si="4"/>
        <v>0</v>
      </c>
      <c r="BJ67" s="232" t="b">
        <f t="shared" si="4"/>
        <v>0</v>
      </c>
      <c r="BK67" s="232" t="b">
        <f t="shared" si="4"/>
        <v>0</v>
      </c>
      <c r="BL67" s="232" t="b">
        <f t="shared" si="4"/>
        <v>0</v>
      </c>
      <c r="BM67" s="232" t="b">
        <f t="shared" si="4"/>
        <v>0</v>
      </c>
      <c r="BN67" s="232">
        <f t="shared" si="4"/>
        <v>4</v>
      </c>
      <c r="BO67" s="232" t="b">
        <f t="shared" si="4"/>
        <v>0</v>
      </c>
      <c r="BP67" s="232" t="b">
        <f t="shared" si="4"/>
        <v>0</v>
      </c>
      <c r="BQ67" s="232" t="b">
        <f t="shared" si="4"/>
        <v>0</v>
      </c>
      <c r="BR67" s="232" t="b">
        <f t="shared" si="4"/>
        <v>0</v>
      </c>
      <c r="BS67" s="232" t="b">
        <f t="shared" si="4"/>
        <v>0</v>
      </c>
      <c r="BT67" s="232" t="b">
        <f t="shared" si="4"/>
        <v>0</v>
      </c>
      <c r="BU67" s="232" t="b">
        <f t="shared" si="4"/>
        <v>0</v>
      </c>
      <c r="BV67" s="232" t="b">
        <f t="shared" si="4"/>
        <v>0</v>
      </c>
      <c r="BW67" s="232" t="b">
        <f t="shared" si="4"/>
        <v>0</v>
      </c>
      <c r="BX67" s="232" t="b">
        <f t="shared" si="4"/>
        <v>0</v>
      </c>
      <c r="BY67" s="232" t="b">
        <f t="shared" si="4"/>
        <v>0</v>
      </c>
      <c r="BZ67" s="232" t="b">
        <f t="shared" si="4"/>
        <v>0</v>
      </c>
      <c r="CA67" s="233" t="b">
        <f t="shared" si="4"/>
        <v>0</v>
      </c>
    </row>
    <row r="68" spans="2:80" ht="18" hidden="1" x14ac:dyDescent="0.2">
      <c r="L68" s="28"/>
      <c r="M68" s="313"/>
      <c r="N68" s="31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10"/>
      <c r="AA68" s="310"/>
      <c r="AB68" s="3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</row>
    <row r="69" spans="2:80" ht="25" hidden="1" x14ac:dyDescent="0.25">
      <c r="H69" s="31"/>
      <c r="L69" s="4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3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</row>
    <row r="70" spans="2:80" ht="19" hidden="1" thickBot="1" x14ac:dyDescent="0.25"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</row>
    <row r="71" spans="2:80" ht="24" thickBot="1" x14ac:dyDescent="0.3"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BC71" s="212" t="s">
        <v>20</v>
      </c>
      <c r="BD71" s="268" t="str">
        <f>IF(BD67=-7,"A ","")</f>
        <v/>
      </c>
      <c r="BE71" s="269" t="str">
        <f>IF(BE67=-6,"B ","")</f>
        <v/>
      </c>
      <c r="BF71" s="269" t="str">
        <f>IF(BF67=-5,"C ","")</f>
        <v/>
      </c>
      <c r="BG71" s="269" t="str">
        <f>IF(BG67=-4,"D ","")</f>
        <v/>
      </c>
      <c r="BH71" s="269" t="str">
        <f>IF(BH67=-3,"E ","")</f>
        <v/>
      </c>
      <c r="BI71" s="269" t="str">
        <f>IF(BI67=-2,"F ","")</f>
        <v/>
      </c>
      <c r="BJ71" s="269" t="str">
        <f>IF(BJ67=-1,"G ","")</f>
        <v/>
      </c>
      <c r="BK71" s="270" t="b">
        <f t="shared" ref="BK71:BP71" si="5">+BK67</f>
        <v>0</v>
      </c>
      <c r="BL71" s="270" t="b">
        <f t="shared" si="5"/>
        <v>0</v>
      </c>
      <c r="BM71" s="270" t="b">
        <f t="shared" si="5"/>
        <v>0</v>
      </c>
      <c r="BN71" s="270">
        <f t="shared" si="5"/>
        <v>4</v>
      </c>
      <c r="BO71" s="270" t="b">
        <f t="shared" si="5"/>
        <v>0</v>
      </c>
      <c r="BP71" s="270" t="b">
        <f t="shared" si="5"/>
        <v>0</v>
      </c>
      <c r="BQ71" s="269" t="str">
        <f>IF(BQ67=61,"N ","")</f>
        <v/>
      </c>
      <c r="BR71" s="269" t="str">
        <f>IF(BR67=62,"O","")</f>
        <v/>
      </c>
      <c r="BS71" s="270" t="b">
        <f>+BS67</f>
        <v>0</v>
      </c>
      <c r="BT71" s="270" t="b">
        <f>+BT67</f>
        <v>0</v>
      </c>
      <c r="BU71" s="269" t="str">
        <f>IF(BU67=-1,"R","")</f>
        <v/>
      </c>
      <c r="BV71" s="269" t="str">
        <f>IF(BV67=-2,"S ","")</f>
        <v/>
      </c>
      <c r="BW71" s="269" t="str">
        <f>IF(BW67=-3,"T ","")</f>
        <v/>
      </c>
      <c r="BX71" s="269" t="str">
        <f>IF(BX67=-4,"U ","")</f>
        <v/>
      </c>
      <c r="BY71" s="269" t="str">
        <f>IF(BY67=-5,"V ","")</f>
        <v/>
      </c>
      <c r="BZ71" s="269" t="str">
        <f>IF(BZ67=-6,"W ","")</f>
        <v/>
      </c>
      <c r="CA71" s="271" t="str">
        <f>IF(CA67=-7,"X ","")</f>
        <v/>
      </c>
    </row>
    <row r="72" spans="2:80" ht="17" hidden="1" thickBot="1" x14ac:dyDescent="0.25">
      <c r="E72" s="1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BD72" s="24">
        <v>-7</v>
      </c>
      <c r="BE72" s="24">
        <v>-6</v>
      </c>
      <c r="BF72" s="24">
        <v>-5</v>
      </c>
      <c r="BG72" s="24">
        <v>-4</v>
      </c>
      <c r="BH72" s="24">
        <v>-3</v>
      </c>
      <c r="BI72" s="24">
        <v>-2</v>
      </c>
      <c r="BJ72" s="24">
        <v>-1</v>
      </c>
      <c r="BK72" s="24">
        <v>1</v>
      </c>
      <c r="BL72" s="24">
        <v>2</v>
      </c>
      <c r="BM72" s="24">
        <v>3</v>
      </c>
      <c r="BN72" s="24">
        <v>4</v>
      </c>
      <c r="BO72" s="24">
        <v>5</v>
      </c>
      <c r="BP72" s="24">
        <v>6</v>
      </c>
      <c r="BQ72" s="24">
        <v>61</v>
      </c>
      <c r="BR72" s="24">
        <v>62</v>
      </c>
      <c r="BS72" s="24">
        <v>7</v>
      </c>
      <c r="BT72" s="24">
        <v>8</v>
      </c>
      <c r="BU72" s="24">
        <v>-1</v>
      </c>
      <c r="BV72" s="24">
        <v>-2</v>
      </c>
      <c r="BW72" s="24">
        <v>-3</v>
      </c>
      <c r="BX72" s="24">
        <v>-4</v>
      </c>
      <c r="BY72" s="24">
        <v>-5</v>
      </c>
      <c r="BZ72" s="24">
        <v>-6</v>
      </c>
      <c r="CA72" s="24">
        <v>-7</v>
      </c>
    </row>
    <row r="73" spans="2:80" ht="17" hidden="1" thickBot="1" x14ac:dyDescent="0.25">
      <c r="E73" s="1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1"/>
    </row>
    <row r="74" spans="2:80" ht="17" hidden="1" thickBot="1" x14ac:dyDescent="0.25">
      <c r="E74" s="13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Q74" s="1"/>
      <c r="AR74" s="1"/>
      <c r="AS74" s="1"/>
      <c r="AT74" s="1"/>
      <c r="AU74" s="1"/>
      <c r="AV74" s="1"/>
      <c r="AW74" s="1"/>
      <c r="BD74" s="24" t="s">
        <v>26</v>
      </c>
      <c r="BE74" s="24" t="s">
        <v>27</v>
      </c>
      <c r="BF74" s="24" t="s">
        <v>28</v>
      </c>
      <c r="BG74" s="24" t="s">
        <v>29</v>
      </c>
      <c r="BH74" s="24" t="s">
        <v>30</v>
      </c>
      <c r="BI74" s="24" t="s">
        <v>42</v>
      </c>
      <c r="BJ74" s="24" t="s">
        <v>14</v>
      </c>
      <c r="BK74" s="24">
        <v>1</v>
      </c>
      <c r="BL74" s="24">
        <v>2</v>
      </c>
      <c r="BM74" s="24">
        <v>3</v>
      </c>
      <c r="BN74" s="24">
        <v>4</v>
      </c>
      <c r="BO74" s="24">
        <v>5</v>
      </c>
      <c r="BP74" s="24">
        <v>6</v>
      </c>
      <c r="BQ74" s="24" t="s">
        <v>43</v>
      </c>
      <c r="BR74" s="24" t="s">
        <v>44</v>
      </c>
      <c r="BS74" s="24">
        <v>7</v>
      </c>
      <c r="BT74" s="24">
        <v>8</v>
      </c>
      <c r="BU74" s="24" t="s">
        <v>45</v>
      </c>
      <c r="BV74" s="24" t="s">
        <v>46</v>
      </c>
      <c r="BW74" s="24" t="s">
        <v>13</v>
      </c>
      <c r="BX74" s="24" t="s">
        <v>47</v>
      </c>
      <c r="BY74" s="24" t="s">
        <v>48</v>
      </c>
      <c r="BZ74" s="24" t="s">
        <v>49</v>
      </c>
      <c r="CA74" s="24" t="s">
        <v>69</v>
      </c>
    </row>
    <row r="75" spans="2:80" ht="17" hidden="1" thickBot="1" x14ac:dyDescent="0.25">
      <c r="E75" s="13"/>
      <c r="G75" s="1"/>
      <c r="H75" s="1"/>
      <c r="L75" s="4"/>
      <c r="M75" s="20"/>
      <c r="N75" s="20"/>
      <c r="O75" s="20"/>
      <c r="P75" s="20"/>
      <c r="Q75" s="20"/>
      <c r="R75" s="20"/>
      <c r="S75" s="20"/>
      <c r="T75" s="20"/>
      <c r="U75" s="47"/>
      <c r="V75" s="20"/>
      <c r="W75" s="20"/>
      <c r="X75" s="20"/>
      <c r="Y75" s="20"/>
      <c r="Z75" s="20"/>
      <c r="AA75" s="20"/>
      <c r="AB75" s="3"/>
      <c r="AQ75" s="1"/>
      <c r="AR75" s="1"/>
      <c r="AS75" s="1"/>
      <c r="AT75" s="1"/>
      <c r="AU75" s="1"/>
      <c r="AV75" s="1"/>
      <c r="AW75" s="1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</row>
    <row r="76" spans="2:80" ht="17" hidden="1" thickBot="1" x14ac:dyDescent="0.25">
      <c r="D76" s="46"/>
      <c r="E76" s="13"/>
      <c r="X76" s="3"/>
      <c r="Y76" s="3"/>
      <c r="Z76" s="3"/>
      <c r="AA76" s="3"/>
      <c r="AB76" s="3"/>
      <c r="AQ76" s="1"/>
      <c r="AR76" s="1"/>
      <c r="AS76" s="1"/>
      <c r="AT76" s="1"/>
      <c r="AU76" s="1"/>
      <c r="AV76" s="1"/>
      <c r="AW76" s="1"/>
    </row>
    <row r="77" spans="2:80" ht="21" hidden="1" thickBot="1" x14ac:dyDescent="0.25">
      <c r="B77" s="100"/>
      <c r="C77" s="46"/>
      <c r="D77" s="46"/>
      <c r="E77" s="13"/>
      <c r="X77" s="3"/>
      <c r="Y77" s="3"/>
      <c r="Z77" s="3"/>
      <c r="AA77" s="3"/>
      <c r="AB77" s="3"/>
      <c r="AQ77" s="1"/>
      <c r="AR77" s="1"/>
      <c r="AS77" s="1"/>
      <c r="AT77" s="1"/>
      <c r="AU77" s="1"/>
      <c r="AV77" s="1"/>
      <c r="AW77" s="1"/>
      <c r="BC77" s="115" t="s">
        <v>52</v>
      </c>
      <c r="CB77" s="115" t="s">
        <v>52</v>
      </c>
    </row>
    <row r="78" spans="2:80" ht="21" hidden="1" thickBot="1" x14ac:dyDescent="0.25">
      <c r="B78" s="100"/>
      <c r="C78" s="46"/>
      <c r="D78" s="46"/>
      <c r="E78" s="13"/>
      <c r="X78" s="3"/>
      <c r="Y78" s="3"/>
      <c r="Z78" s="3"/>
      <c r="AA78" s="3"/>
      <c r="AB78" s="3"/>
      <c r="AQ78" s="1"/>
      <c r="AR78" s="1"/>
      <c r="AS78" s="1"/>
      <c r="AT78" s="1"/>
      <c r="AU78" s="1"/>
      <c r="AV78" s="1"/>
      <c r="AW78" s="1"/>
      <c r="BC78" s="116">
        <f>-+AW88</f>
        <v>438.04097643594031</v>
      </c>
      <c r="CB78" s="118">
        <f>+-AW111</f>
        <v>-550.95902356405963</v>
      </c>
    </row>
    <row r="79" spans="2:80" ht="21" hidden="1" thickBot="1" x14ac:dyDescent="0.25">
      <c r="B79" s="100"/>
      <c r="C79" s="46"/>
      <c r="D79" s="46"/>
      <c r="E79" s="13"/>
      <c r="AQ79" s="1"/>
      <c r="AR79" s="1"/>
      <c r="AS79" s="1"/>
      <c r="AT79" s="1"/>
      <c r="AU79" s="1"/>
      <c r="AV79" s="1"/>
      <c r="AW79" s="1"/>
    </row>
    <row r="80" spans="2:80" ht="21" hidden="1" thickBot="1" x14ac:dyDescent="0.25">
      <c r="B80" s="100"/>
      <c r="C80" s="46"/>
      <c r="D80" s="46"/>
      <c r="E80" s="13"/>
      <c r="AQ80" s="1"/>
      <c r="AR80" s="1"/>
      <c r="AS80" s="1"/>
      <c r="AT80" s="1"/>
      <c r="AU80" s="1"/>
      <c r="AV80" s="1"/>
      <c r="AW80" s="1"/>
    </row>
    <row r="81" spans="2:75" ht="101" hidden="1" thickBot="1" x14ac:dyDescent="0.3">
      <c r="B81" s="100"/>
      <c r="C81" s="46"/>
      <c r="D81" s="46"/>
      <c r="E81" s="13"/>
      <c r="P81" s="252" t="s">
        <v>93</v>
      </c>
      <c r="Q81" s="253"/>
      <c r="R81" s="253"/>
      <c r="S81" s="253"/>
      <c r="T81" s="254"/>
      <c r="U81" s="255"/>
      <c r="V81" s="255"/>
      <c r="W81" s="256" t="s">
        <v>94</v>
      </c>
      <c r="AQ81" s="1"/>
      <c r="AR81" s="1"/>
      <c r="AS81" s="1"/>
      <c r="AT81" s="1"/>
      <c r="AU81" s="1"/>
      <c r="AV81" s="1"/>
      <c r="AW81" s="1"/>
    </row>
    <row r="82" spans="2:75" ht="41" hidden="1" thickBot="1" x14ac:dyDescent="0.25">
      <c r="B82" s="100"/>
      <c r="C82" s="46"/>
      <c r="D82" s="46"/>
      <c r="E82" s="13"/>
      <c r="P82" s="257" t="s">
        <v>90</v>
      </c>
      <c r="Q82" s="258" t="s">
        <v>91</v>
      </c>
      <c r="R82" s="258" t="s">
        <v>92</v>
      </c>
      <c r="S82" s="259" t="s">
        <v>97</v>
      </c>
      <c r="T82" s="254"/>
      <c r="U82" s="255"/>
      <c r="V82" s="255"/>
      <c r="W82" s="260" t="s">
        <v>71</v>
      </c>
      <c r="AQ82" s="1"/>
      <c r="AR82" s="1"/>
      <c r="AS82" s="1"/>
      <c r="AT82" s="1"/>
      <c r="AU82" s="1"/>
      <c r="AV82" s="1"/>
      <c r="AW82" s="1"/>
    </row>
    <row r="83" spans="2:75" ht="21" hidden="1" thickBot="1" x14ac:dyDescent="0.25">
      <c r="B83" s="100"/>
      <c r="C83" s="46"/>
      <c r="D83" s="46"/>
      <c r="E83" s="13"/>
      <c r="P83" s="257">
        <v>9.8842199999999991</v>
      </c>
      <c r="Q83" s="258">
        <f>+$B$50-P83</f>
        <v>-9.8842199999999991</v>
      </c>
      <c r="R83" s="261">
        <f>COS(Q83*3.14159265358979/180)</f>
        <v>0.98515664029449757</v>
      </c>
      <c r="S83" s="262">
        <f>+R83*264.12</f>
        <v>260.19957183458268</v>
      </c>
      <c r="T83" s="254"/>
      <c r="U83" s="255"/>
      <c r="V83" s="255"/>
      <c r="W83" s="263">
        <f>+((X91*AF91)+(S83*39))/(AF91+39)</f>
        <v>186.04129370505311</v>
      </c>
      <c r="AQ83" s="1"/>
      <c r="AR83" s="1"/>
      <c r="AS83" s="1"/>
      <c r="AT83" s="1"/>
      <c r="AU83" s="1"/>
      <c r="AV83" s="1"/>
      <c r="AW83" s="1"/>
    </row>
    <row r="84" spans="2:75" ht="21" hidden="1" thickBot="1" x14ac:dyDescent="0.25">
      <c r="E84" s="39"/>
      <c r="F84" s="3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0"/>
      <c r="S84" s="48"/>
      <c r="T84" s="48"/>
      <c r="U84" s="46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3"/>
      <c r="AN84" s="3"/>
      <c r="AO84" s="3"/>
      <c r="AP84" s="3"/>
      <c r="AQ84" s="1"/>
      <c r="AR84" s="1"/>
      <c r="AS84" s="1"/>
      <c r="AT84" s="1"/>
      <c r="AU84" s="1"/>
      <c r="AV84" s="1"/>
      <c r="AW84" s="1"/>
      <c r="BM84" s="4"/>
      <c r="BP84" s="15"/>
      <c r="BQ84" s="15"/>
      <c r="BR84" s="15"/>
      <c r="BS84" s="15"/>
      <c r="BT84" s="15"/>
      <c r="BU84" s="15"/>
      <c r="BV84" s="15"/>
      <c r="BW84" s="15"/>
    </row>
    <row r="85" spans="2:75" ht="21" thickBot="1" x14ac:dyDescent="0.25">
      <c r="E85" s="39"/>
      <c r="F85" s="39"/>
      <c r="S85" s="7"/>
      <c r="T85" s="7"/>
      <c r="U85" s="49"/>
      <c r="V85" s="50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3"/>
      <c r="AN85" s="3"/>
      <c r="AO85" s="3"/>
      <c r="AP85" s="3"/>
      <c r="AQ85" s="1"/>
      <c r="AR85" s="1"/>
      <c r="AS85" s="1"/>
      <c r="AT85" s="1"/>
      <c r="AU85" s="1"/>
      <c r="AV85" s="1"/>
      <c r="AW85" s="1"/>
      <c r="BM85" s="34" t="e">
        <f>+(#REF!/#REF!)*S76</f>
        <v>#REF!</v>
      </c>
      <c r="BP85" s="15"/>
      <c r="BQ85" s="15"/>
      <c r="BR85" s="15"/>
      <c r="BS85" s="15"/>
      <c r="BT85" s="15"/>
      <c r="BU85" s="15"/>
      <c r="BV85" s="15"/>
      <c r="BW85" s="15"/>
    </row>
    <row r="86" spans="2:75" ht="17" hidden="1" thickBot="1" x14ac:dyDescent="0.25">
      <c r="C86" s="6"/>
      <c r="D86" s="7"/>
      <c r="E86" s="7"/>
      <c r="F86" s="7"/>
      <c r="S86" s="7"/>
      <c r="T86" s="7"/>
      <c r="U86" s="51"/>
      <c r="V86" s="52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3"/>
      <c r="AN86" s="3"/>
      <c r="AO86" s="3"/>
      <c r="AP86" s="3"/>
      <c r="AQ86" s="1"/>
      <c r="AR86" s="1"/>
      <c r="AS86" s="1"/>
      <c r="AT86" s="1"/>
      <c r="AU86" s="1"/>
      <c r="AV86" s="1"/>
      <c r="AW86" s="1"/>
      <c r="BM86" s="35" t="e">
        <f>+#REF!/BM85</f>
        <v>#REF!</v>
      </c>
      <c r="BP86" s="15"/>
      <c r="BQ86" s="15"/>
      <c r="BR86" s="15"/>
      <c r="BS86" s="15"/>
      <c r="BT86" s="15"/>
      <c r="BU86" s="15"/>
      <c r="BV86" s="15"/>
      <c r="BW86" s="15"/>
    </row>
    <row r="87" spans="2:75" ht="42" thickTop="1" thickBot="1" x14ac:dyDescent="0.25">
      <c r="B87" s="138" t="s">
        <v>98</v>
      </c>
      <c r="C87" s="32"/>
      <c r="D87" s="311" t="s">
        <v>96</v>
      </c>
      <c r="E87" s="312"/>
      <c r="F87" s="11"/>
      <c r="G87" s="236" t="s">
        <v>78</v>
      </c>
      <c r="H87" s="236" t="s">
        <v>79</v>
      </c>
      <c r="I87" s="236" t="s">
        <v>80</v>
      </c>
      <c r="S87" s="1"/>
      <c r="T87" s="1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05" t="s">
        <v>41</v>
      </c>
      <c r="AO87" s="306"/>
      <c r="AP87" s="3"/>
      <c r="AQ87" s="1"/>
      <c r="AR87" s="1"/>
      <c r="AS87" s="122" t="s">
        <v>53</v>
      </c>
      <c r="AT87" s="97"/>
      <c r="AU87" s="158"/>
      <c r="AV87" s="160" t="s">
        <v>87</v>
      </c>
      <c r="AW87" s="97"/>
      <c r="AX87" s="97"/>
      <c r="AY87" s="97"/>
      <c r="AZ87" s="97"/>
      <c r="BA87" s="97"/>
      <c r="BM87" s="3"/>
      <c r="BQ87" s="15"/>
      <c r="BR87" s="15"/>
      <c r="BS87" s="15"/>
      <c r="BT87" s="15"/>
      <c r="BU87" s="15"/>
      <c r="BV87" s="15"/>
      <c r="BW87" s="15"/>
    </row>
    <row r="88" spans="2:75" ht="26" thickBot="1" x14ac:dyDescent="0.3">
      <c r="B88" s="141">
        <v>10</v>
      </c>
      <c r="C88" s="139"/>
      <c r="D88" s="264"/>
      <c r="E88" s="136"/>
      <c r="F88" s="100"/>
      <c r="G88" s="100"/>
      <c r="H88" s="100"/>
      <c r="I88" s="100"/>
      <c r="J88" s="100"/>
      <c r="K88" s="100"/>
      <c r="L88" s="100"/>
      <c r="M88" s="100"/>
      <c r="N88" s="100"/>
      <c r="O88" s="236" t="s">
        <v>81</v>
      </c>
      <c r="P88" s="236" t="s">
        <v>82</v>
      </c>
      <c r="Q88" s="100"/>
      <c r="R88" s="236" t="s">
        <v>83</v>
      </c>
      <c r="S88" s="100"/>
      <c r="T88" s="100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45"/>
      <c r="AN88" s="132" t="s">
        <v>18</v>
      </c>
      <c r="AO88" s="132" t="s">
        <v>19</v>
      </c>
      <c r="AP88" s="3"/>
      <c r="AQ88" s="1"/>
      <c r="AR88" s="1"/>
      <c r="AS88" s="123" t="s">
        <v>26</v>
      </c>
      <c r="AT88" s="124">
        <v>-7</v>
      </c>
      <c r="AU88" s="159">
        <v>-301</v>
      </c>
      <c r="AV88" s="156">
        <f>+COS(($B$50*-1)*3.14159265358979/180)*AU88</f>
        <v>-301</v>
      </c>
      <c r="AW88" s="161">
        <f t="shared" ref="AW88:AW111" si="6">+AV88-E$18</f>
        <v>-438.04097643594031</v>
      </c>
      <c r="AX88" s="126">
        <f t="shared" ref="AX88:AX110" si="7">ABS(AW88)</f>
        <v>438.04097643594031</v>
      </c>
      <c r="AY88" s="126">
        <f t="shared" ref="AY88:AY111" si="8">MIN($AX$88:$AX$111)</f>
        <v>8.0409764359403084</v>
      </c>
      <c r="AZ88" s="126" t="b">
        <f t="shared" ref="AZ88:AZ110" si="9">IF(AY88=AX88,AT88)</f>
        <v>0</v>
      </c>
      <c r="BA88" s="97">
        <v>1</v>
      </c>
      <c r="BM88" s="3"/>
      <c r="BP88" s="15"/>
      <c r="BQ88" s="15"/>
      <c r="BR88" s="15"/>
      <c r="BS88" s="15"/>
      <c r="BT88" s="15"/>
      <c r="BU88" s="15"/>
      <c r="BV88" s="15"/>
      <c r="BW88" s="15"/>
    </row>
    <row r="89" spans="2:75" ht="20" hidden="1" thickTop="1" thickBot="1" x14ac:dyDescent="0.25">
      <c r="B89" s="140"/>
      <c r="C89" s="91"/>
      <c r="D89" s="143"/>
      <c r="E89" s="89"/>
      <c r="F89" s="8"/>
      <c r="G89" s="66" t="s">
        <v>3</v>
      </c>
      <c r="H89" s="66" t="s">
        <v>0</v>
      </c>
      <c r="I89" s="88" t="s">
        <v>50</v>
      </c>
      <c r="J89" s="59" t="s">
        <v>1</v>
      </c>
      <c r="K89" s="59" t="s">
        <v>2</v>
      </c>
      <c r="L89" s="59" t="s">
        <v>7</v>
      </c>
      <c r="M89" s="59" t="s">
        <v>4</v>
      </c>
      <c r="N89" s="59" t="s">
        <v>5</v>
      </c>
      <c r="O89" s="59" t="s">
        <v>6</v>
      </c>
      <c r="P89" s="59" t="s">
        <v>8</v>
      </c>
      <c r="Q89" s="72" t="s">
        <v>9</v>
      </c>
      <c r="R89" s="59" t="s">
        <v>10</v>
      </c>
      <c r="S89" s="73" t="s">
        <v>11</v>
      </c>
      <c r="T89" s="74"/>
      <c r="U89" s="9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45"/>
      <c r="AM89" s="45"/>
      <c r="AN89" s="2"/>
      <c r="AO89" s="2"/>
      <c r="AP89" s="2"/>
      <c r="AQ89" s="1"/>
      <c r="AR89" s="1"/>
      <c r="AS89" s="123" t="s">
        <v>27</v>
      </c>
      <c r="AT89" s="124">
        <v>-6</v>
      </c>
      <c r="AU89" s="159">
        <f>+AU88+43</f>
        <v>-258</v>
      </c>
      <c r="AV89" s="156">
        <f>+AV88+$F$17</f>
        <v>-258</v>
      </c>
      <c r="AW89" s="161">
        <f t="shared" si="6"/>
        <v>-395.04097643594031</v>
      </c>
      <c r="AX89" s="126">
        <f t="shared" si="7"/>
        <v>395.04097643594031</v>
      </c>
      <c r="AY89" s="126">
        <f t="shared" si="8"/>
        <v>8.0409764359403084</v>
      </c>
      <c r="AZ89" s="126" t="b">
        <f t="shared" si="9"/>
        <v>0</v>
      </c>
      <c r="BA89" s="97">
        <v>2</v>
      </c>
      <c r="BQ89" s="15"/>
      <c r="BR89" s="15"/>
      <c r="BS89" s="15"/>
      <c r="BT89" s="15"/>
      <c r="BU89" s="15"/>
      <c r="BV89" s="15"/>
      <c r="BW89" s="15"/>
    </row>
    <row r="90" spans="2:75" ht="33" hidden="1" thickBot="1" x14ac:dyDescent="0.25">
      <c r="B90" s="92"/>
      <c r="C90" s="93"/>
      <c r="D90" s="144"/>
      <c r="E90" s="234"/>
      <c r="F90" s="21"/>
      <c r="G90" s="66"/>
      <c r="H90" s="66"/>
      <c r="I90" s="88"/>
      <c r="J90" s="59"/>
      <c r="K90" s="59"/>
      <c r="L90" s="59"/>
      <c r="M90" s="59"/>
      <c r="N90" s="59"/>
      <c r="O90" s="59"/>
      <c r="P90" s="59"/>
      <c r="Q90" s="72"/>
      <c r="R90" s="59"/>
      <c r="S90" s="73"/>
      <c r="T90" s="74"/>
      <c r="U90" s="9"/>
      <c r="V90" s="2"/>
      <c r="W90" s="2"/>
      <c r="X90" s="74" t="s">
        <v>36</v>
      </c>
      <c r="Y90" s="75" t="s">
        <v>31</v>
      </c>
      <c r="Z90" s="76" t="s">
        <v>95</v>
      </c>
      <c r="AA90" s="77" t="s">
        <v>32</v>
      </c>
      <c r="AB90" s="67" t="s">
        <v>33</v>
      </c>
      <c r="AC90" s="58" t="s">
        <v>68</v>
      </c>
      <c r="AD90" s="78" t="s">
        <v>34</v>
      </c>
      <c r="AE90" s="84" t="s">
        <v>35</v>
      </c>
      <c r="AF90" s="76" t="s">
        <v>60</v>
      </c>
      <c r="AG90" s="79" t="s">
        <v>39</v>
      </c>
      <c r="AH90" s="130" t="s">
        <v>70</v>
      </c>
      <c r="AI90" s="79" t="s">
        <v>61</v>
      </c>
      <c r="AJ90" s="80" t="s">
        <v>37</v>
      </c>
      <c r="AK90" s="80" t="s">
        <v>38</v>
      </c>
      <c r="AL90" s="81" t="s">
        <v>18</v>
      </c>
      <c r="AM90" s="81" t="s">
        <v>19</v>
      </c>
      <c r="AN90" s="23"/>
      <c r="AO90" s="23"/>
      <c r="AP90" s="3"/>
      <c r="AQ90" s="1"/>
      <c r="AR90" s="1"/>
      <c r="AS90" s="123" t="s">
        <v>28</v>
      </c>
      <c r="AT90" s="124">
        <v>-5</v>
      </c>
      <c r="AU90" s="159">
        <f t="shared" ref="AU90:AU111" si="10">+AU89+43</f>
        <v>-215</v>
      </c>
      <c r="AV90" s="156">
        <f t="shared" ref="AV90:AV111" si="11">+AV89+$F$17</f>
        <v>-215</v>
      </c>
      <c r="AW90" s="161">
        <f t="shared" si="6"/>
        <v>-352.04097643594031</v>
      </c>
      <c r="AX90" s="126">
        <f t="shared" si="7"/>
        <v>352.04097643594031</v>
      </c>
      <c r="AY90" s="126">
        <f t="shared" si="8"/>
        <v>8.0409764359403084</v>
      </c>
      <c r="AZ90" s="126" t="b">
        <f t="shared" si="9"/>
        <v>0</v>
      </c>
      <c r="BA90" s="97">
        <v>3</v>
      </c>
      <c r="BM90" s="5"/>
      <c r="BQ90" s="15"/>
      <c r="BR90" s="15"/>
      <c r="BS90" s="15"/>
      <c r="BT90" s="15"/>
      <c r="BU90" s="15"/>
      <c r="BV90" s="15"/>
      <c r="BW90" s="15"/>
    </row>
    <row r="91" spans="2:75" ht="20" thickTop="1" thickBot="1" x14ac:dyDescent="0.25">
      <c r="B91" s="94">
        <v>1</v>
      </c>
      <c r="C91" s="142">
        <f>+(B50*-1)+D91</f>
        <v>0</v>
      </c>
      <c r="D91" s="267"/>
      <c r="E91" s="90"/>
      <c r="F91" s="44"/>
      <c r="G91" s="134">
        <v>330.32240000000002</v>
      </c>
      <c r="H91" s="134">
        <v>56.35849108</v>
      </c>
      <c r="I91" s="88">
        <f>+H91-C91</f>
        <v>56.35849108</v>
      </c>
      <c r="J91" s="59"/>
      <c r="K91" s="59"/>
      <c r="L91" s="59"/>
      <c r="M91" s="59"/>
      <c r="N91" s="59"/>
      <c r="O91" s="134">
        <f>COS(I91*3.14159265358979/180)</f>
        <v>0.55399482818746904</v>
      </c>
      <c r="P91" s="134">
        <f>+O91*G91</f>
        <v>182.99690123447243</v>
      </c>
      <c r="Q91" s="71">
        <v>183</v>
      </c>
      <c r="R91" s="135">
        <f>+P91</f>
        <v>182.99690123447243</v>
      </c>
      <c r="S91" s="59">
        <f t="shared" ref="S91:S102" si="12">+R91</f>
        <v>182.99690123447243</v>
      </c>
      <c r="T91" s="57"/>
      <c r="U91" s="70"/>
      <c r="V91" s="14">
        <f t="shared" ref="V91:V102" si="13">IF(B91&lt;($B$88+1),S91,0)</f>
        <v>182.99690123447243</v>
      </c>
      <c r="W91" s="43"/>
      <c r="X91" s="14">
        <f>SUM(V91:V102)/($B$88)</f>
        <v>182.99690123447246</v>
      </c>
      <c r="Y91" s="40">
        <f>+D91+C91</f>
        <v>0</v>
      </c>
      <c r="Z91" s="82">
        <f>33.64150892+Y91</f>
        <v>33.64150892</v>
      </c>
      <c r="AA91" s="83">
        <f>SIN(Z91*3.14159265358979/180)</f>
        <v>0.5539948281874677</v>
      </c>
      <c r="AB91" s="68">
        <f>+AA91*330.3224</f>
        <v>182.99690123447198</v>
      </c>
      <c r="AC91" s="82">
        <f>50.7844781-Y91</f>
        <v>50.784478100000001</v>
      </c>
      <c r="AD91" s="41">
        <f>SIN(AC91*3.14159265358979/180)</f>
        <v>0.77477323830979683</v>
      </c>
      <c r="AE91" s="68">
        <f>+AD91*434.9619</f>
        <v>336.99683980438203</v>
      </c>
      <c r="AF91" s="119">
        <f>95*B88</f>
        <v>950</v>
      </c>
      <c r="AG91" s="42">
        <f>+AE91+AB91</f>
        <v>519.99374103885407</v>
      </c>
      <c r="AH91" s="36">
        <f>+V91-AB91</f>
        <v>4.5474735088646412E-13</v>
      </c>
      <c r="AI91" s="36">
        <f t="shared" ref="AI91:AI102" si="14">+X91-AH91</f>
        <v>182.99690123447201</v>
      </c>
      <c r="AJ91" s="38">
        <f>+((AG91-AI91)/AG91)*AF91</f>
        <v>615.6747140351473</v>
      </c>
      <c r="AK91" s="38">
        <f>+(AI91/AG91)*AF91</f>
        <v>334.32528596485264</v>
      </c>
      <c r="AL91" s="33">
        <f t="shared" ref="AL91:AL102" si="15">2*$C$31/AJ91</f>
        <v>18.841118102728814</v>
      </c>
      <c r="AM91" s="33">
        <f t="shared" ref="AM91:AM102" si="16">2*$D$31/AK91</f>
        <v>34.696747410303566</v>
      </c>
      <c r="AN91" s="53">
        <f>ABS(AL91)</f>
        <v>18.841118102728814</v>
      </c>
      <c r="AO91" s="53">
        <f>ABS(AM91)</f>
        <v>34.696747410303566</v>
      </c>
      <c r="AP91" s="18"/>
      <c r="AQ91" s="1"/>
      <c r="AR91" s="1"/>
      <c r="AS91" s="123" t="s">
        <v>29</v>
      </c>
      <c r="AT91" s="124">
        <v>-4</v>
      </c>
      <c r="AU91" s="159">
        <f t="shared" si="10"/>
        <v>-172</v>
      </c>
      <c r="AV91" s="156">
        <f t="shared" si="11"/>
        <v>-172</v>
      </c>
      <c r="AW91" s="161">
        <f t="shared" si="6"/>
        <v>-309.04097643594031</v>
      </c>
      <c r="AX91" s="126">
        <f t="shared" si="7"/>
        <v>309.04097643594031</v>
      </c>
      <c r="AY91" s="126">
        <f t="shared" si="8"/>
        <v>8.0409764359403084</v>
      </c>
      <c r="AZ91" s="126" t="b">
        <f t="shared" si="9"/>
        <v>0</v>
      </c>
      <c r="BA91" s="97">
        <v>4</v>
      </c>
      <c r="BM91" s="5"/>
      <c r="BQ91" s="15"/>
      <c r="BR91" s="15"/>
      <c r="BS91" s="15"/>
      <c r="BT91" s="15"/>
      <c r="BU91" s="15"/>
      <c r="BV91" s="15"/>
      <c r="BW91" s="15"/>
    </row>
    <row r="92" spans="2:75" ht="19" thickBot="1" x14ac:dyDescent="0.25">
      <c r="B92" s="95">
        <v>2</v>
      </c>
      <c r="C92" s="95"/>
      <c r="D92" s="267"/>
      <c r="E92" s="90"/>
      <c r="F92" s="65"/>
      <c r="G92" s="66">
        <v>434.96190000000001</v>
      </c>
      <c r="H92" s="66">
        <v>78.431043799999998</v>
      </c>
      <c r="I92" s="88">
        <f t="shared" ref="I92:I102" si="17">+H92+D92</f>
        <v>78.431043799999998</v>
      </c>
      <c r="J92" s="59">
        <f t="shared" ref="J92:J102" si="18">+I92/2</f>
        <v>39.215521899999999</v>
      </c>
      <c r="K92" s="59">
        <f t="shared" ref="K92:K102" si="19">SIN(J92*3.14159265358979/180)</f>
        <v>0.63223921833349528</v>
      </c>
      <c r="L92" s="59">
        <f t="shared" ref="L92:L102" si="20">+K92*G92</f>
        <v>274.99997166085194</v>
      </c>
      <c r="M92" s="59">
        <f t="shared" ref="M92:M102" si="21">+L92*2</f>
        <v>549.99994332170388</v>
      </c>
      <c r="N92" s="59">
        <f>+C91+(D92/2)</f>
        <v>0</v>
      </c>
      <c r="O92" s="59">
        <f t="shared" ref="O92:O102" si="22">SIN(N92*3.14159265358979/180)</f>
        <v>0</v>
      </c>
      <c r="P92" s="59">
        <f t="shared" ref="P92:P102" si="23">+O92*M92</f>
        <v>0</v>
      </c>
      <c r="Q92" s="59">
        <f t="shared" ref="Q92:Q102" si="24">+S91</f>
        <v>182.99690123447243</v>
      </c>
      <c r="R92" s="59">
        <f>+Q92+P92</f>
        <v>182.99690123447243</v>
      </c>
      <c r="S92" s="59">
        <f t="shared" si="12"/>
        <v>182.99690123447243</v>
      </c>
      <c r="T92" s="57"/>
      <c r="U92" s="70"/>
      <c r="V92" s="14">
        <f t="shared" si="13"/>
        <v>182.99690123447243</v>
      </c>
      <c r="W92" s="43"/>
      <c r="X92" s="14">
        <f>SUM(V92:V102)/($B$88-B91)</f>
        <v>182.99690123447246</v>
      </c>
      <c r="Y92" s="37">
        <f>SUM(D92)+$C$91</f>
        <v>0</v>
      </c>
      <c r="Z92" s="82">
        <f t="shared" ref="Z92:Z102" si="25">33.64150892+Y92</f>
        <v>33.64150892</v>
      </c>
      <c r="AA92" s="83">
        <f>SIN(Z92*3.14159265358979/180)</f>
        <v>0.5539948281874677</v>
      </c>
      <c r="AB92" s="68">
        <f t="shared" ref="AB92:AB102" si="26">+AA92*330.3224</f>
        <v>182.99690123447198</v>
      </c>
      <c r="AC92" s="82">
        <f t="shared" ref="AC92:AC102" si="27">50.7844781-Y92</f>
        <v>50.784478100000001</v>
      </c>
      <c r="AD92" s="41">
        <f t="shared" ref="AD92:AD102" si="28">SIN(AC92*3.14159265358979/180)</f>
        <v>0.77477323830979683</v>
      </c>
      <c r="AE92" s="68">
        <f t="shared" ref="AE92:AE102" si="29">+AD92*434.9619</f>
        <v>336.99683980438203</v>
      </c>
      <c r="AF92" s="119">
        <f t="shared" ref="AF92:AF102" si="30">95*($B$88-B91)</f>
        <v>855</v>
      </c>
      <c r="AG92" s="42">
        <f t="shared" ref="AG92:AG102" si="31">+AE92+AB92</f>
        <v>519.99374103885407</v>
      </c>
      <c r="AH92" s="36">
        <f t="shared" ref="AH92:AH102" si="32">+V92-AB92</f>
        <v>4.5474735088646412E-13</v>
      </c>
      <c r="AI92" s="36">
        <f t="shared" si="14"/>
        <v>182.99690123447201</v>
      </c>
      <c r="AJ92" s="38">
        <f t="shared" ref="AJ92:AJ102" si="33">+((AG92-AI92)/AG92)*AF92</f>
        <v>554.10724263163263</v>
      </c>
      <c r="AK92" s="38">
        <f t="shared" ref="AK92:AK102" si="34">+(AI92/AG92)*AF92</f>
        <v>300.89275736836737</v>
      </c>
      <c r="AL92" s="33">
        <f t="shared" si="15"/>
        <v>20.934575669698681</v>
      </c>
      <c r="AM92" s="33">
        <f t="shared" si="16"/>
        <v>38.551941567003965</v>
      </c>
      <c r="AN92" s="53">
        <f t="shared" ref="AN92:AO102" si="35">ABS(AL92)</f>
        <v>20.934575669698681</v>
      </c>
      <c r="AO92" s="53">
        <f t="shared" si="35"/>
        <v>38.551941567003965</v>
      </c>
      <c r="AP92" s="18"/>
      <c r="AQ92" s="1"/>
      <c r="AR92" s="1"/>
      <c r="AS92" s="123" t="s">
        <v>30</v>
      </c>
      <c r="AT92" s="124">
        <v>-3</v>
      </c>
      <c r="AU92" s="159">
        <f t="shared" si="10"/>
        <v>-129</v>
      </c>
      <c r="AV92" s="156">
        <f t="shared" si="11"/>
        <v>-129</v>
      </c>
      <c r="AW92" s="161">
        <f t="shared" si="6"/>
        <v>-266.04097643594031</v>
      </c>
      <c r="AX92" s="126">
        <f t="shared" si="7"/>
        <v>266.04097643594031</v>
      </c>
      <c r="AY92" s="126">
        <f t="shared" si="8"/>
        <v>8.0409764359403084</v>
      </c>
      <c r="AZ92" s="126" t="b">
        <f t="shared" si="9"/>
        <v>0</v>
      </c>
      <c r="BA92" s="97">
        <v>5</v>
      </c>
      <c r="BM92" s="5"/>
      <c r="BQ92" s="15"/>
      <c r="BR92" s="15"/>
      <c r="BS92" s="15"/>
      <c r="BT92" s="15"/>
      <c r="BU92" s="15"/>
      <c r="BV92" s="15"/>
      <c r="BW92" s="15"/>
    </row>
    <row r="93" spans="2:75" ht="19" thickBot="1" x14ac:dyDescent="0.25">
      <c r="B93" s="95">
        <v>3</v>
      </c>
      <c r="C93" s="95"/>
      <c r="D93" s="267"/>
      <c r="E93" s="90"/>
      <c r="F93" s="65"/>
      <c r="G93" s="66">
        <v>434.96190000000001</v>
      </c>
      <c r="H93" s="66">
        <v>78.431043799999998</v>
      </c>
      <c r="I93" s="88">
        <f t="shared" si="17"/>
        <v>78.431043799999998</v>
      </c>
      <c r="J93" s="59">
        <f t="shared" si="18"/>
        <v>39.215521899999999</v>
      </c>
      <c r="K93" s="59">
        <f t="shared" si="19"/>
        <v>0.63223921833349528</v>
      </c>
      <c r="L93" s="59">
        <f t="shared" si="20"/>
        <v>274.99997166085194</v>
      </c>
      <c r="M93" s="59">
        <f t="shared" si="21"/>
        <v>549.99994332170388</v>
      </c>
      <c r="N93" s="59">
        <f>+C91+D92+(D93/2)</f>
        <v>0</v>
      </c>
      <c r="O93" s="59">
        <f t="shared" si="22"/>
        <v>0</v>
      </c>
      <c r="P93" s="59">
        <f t="shared" si="23"/>
        <v>0</v>
      </c>
      <c r="Q93" s="59">
        <f t="shared" si="24"/>
        <v>182.99690123447243</v>
      </c>
      <c r="R93" s="59">
        <f t="shared" ref="R93:R102" si="36">+R92+P93</f>
        <v>182.99690123447243</v>
      </c>
      <c r="S93" s="59">
        <f t="shared" si="12"/>
        <v>182.99690123447243</v>
      </c>
      <c r="T93" s="57"/>
      <c r="U93" s="70"/>
      <c r="V93" s="14">
        <f t="shared" si="13"/>
        <v>182.99690123447243</v>
      </c>
      <c r="W93" s="43"/>
      <c r="X93" s="14">
        <f>SUM(V93:V102)/($B$88-B92)</f>
        <v>182.99690123447246</v>
      </c>
      <c r="Y93" s="37">
        <f>SUM(D92:D93)+$C$91</f>
        <v>0</v>
      </c>
      <c r="Z93" s="82">
        <f t="shared" si="25"/>
        <v>33.64150892</v>
      </c>
      <c r="AA93" s="83">
        <f t="shared" ref="AA93:AA102" si="37">SIN(Z93*3.14159265358979/180)</f>
        <v>0.5539948281874677</v>
      </c>
      <c r="AB93" s="68">
        <f t="shared" si="26"/>
        <v>182.99690123447198</v>
      </c>
      <c r="AC93" s="82">
        <f t="shared" si="27"/>
        <v>50.784478100000001</v>
      </c>
      <c r="AD93" s="41">
        <f t="shared" si="28"/>
        <v>0.77477323830979683</v>
      </c>
      <c r="AE93" s="68">
        <f t="shared" si="29"/>
        <v>336.99683980438203</v>
      </c>
      <c r="AF93" s="119">
        <f t="shared" si="30"/>
        <v>760</v>
      </c>
      <c r="AG93" s="42">
        <f t="shared" si="31"/>
        <v>519.99374103885407</v>
      </c>
      <c r="AH93" s="36">
        <f t="shared" si="32"/>
        <v>4.5474735088646412E-13</v>
      </c>
      <c r="AI93" s="36">
        <f t="shared" si="14"/>
        <v>182.99690123447201</v>
      </c>
      <c r="AJ93" s="38">
        <f t="shared" si="33"/>
        <v>492.53977122811784</v>
      </c>
      <c r="AK93" s="38">
        <f t="shared" si="34"/>
        <v>267.4602287718821</v>
      </c>
      <c r="AL93" s="33">
        <f t="shared" si="15"/>
        <v>23.551397628411017</v>
      </c>
      <c r="AM93" s="33">
        <f t="shared" si="16"/>
        <v>43.370934262879459</v>
      </c>
      <c r="AN93" s="53">
        <f t="shared" si="35"/>
        <v>23.551397628411017</v>
      </c>
      <c r="AO93" s="53">
        <f t="shared" si="35"/>
        <v>43.370934262879459</v>
      </c>
      <c r="AQ93" s="1"/>
      <c r="AR93" s="1"/>
      <c r="AS93" s="123" t="s">
        <v>42</v>
      </c>
      <c r="AT93" s="124">
        <v>-2</v>
      </c>
      <c r="AU93" s="159">
        <f t="shared" si="10"/>
        <v>-86</v>
      </c>
      <c r="AV93" s="156">
        <f t="shared" si="11"/>
        <v>-86</v>
      </c>
      <c r="AW93" s="161">
        <f t="shared" si="6"/>
        <v>-223.04097643594031</v>
      </c>
      <c r="AX93" s="126">
        <f t="shared" si="7"/>
        <v>223.04097643594031</v>
      </c>
      <c r="AY93" s="126">
        <f t="shared" si="8"/>
        <v>8.0409764359403084</v>
      </c>
      <c r="AZ93" s="126" t="b">
        <f t="shared" si="9"/>
        <v>0</v>
      </c>
      <c r="BA93" s="97">
        <v>6</v>
      </c>
      <c r="BM93" s="5"/>
      <c r="BQ93" s="15"/>
      <c r="BR93" s="15"/>
      <c r="BS93" s="15"/>
      <c r="BT93" s="15"/>
      <c r="BU93" s="15"/>
      <c r="BV93" s="15"/>
      <c r="BW93" s="15"/>
    </row>
    <row r="94" spans="2:75" ht="19" thickBot="1" x14ac:dyDescent="0.25">
      <c r="B94" s="95">
        <v>4</v>
      </c>
      <c r="C94" s="95"/>
      <c r="D94" s="267"/>
      <c r="E94" s="90"/>
      <c r="F94" s="65"/>
      <c r="G94" s="66">
        <v>434.96190000000001</v>
      </c>
      <c r="H94" s="66">
        <v>78.431043799999998</v>
      </c>
      <c r="I94" s="88">
        <f t="shared" si="17"/>
        <v>78.431043799999998</v>
      </c>
      <c r="J94" s="59">
        <f t="shared" si="18"/>
        <v>39.215521899999999</v>
      </c>
      <c r="K94" s="59">
        <f t="shared" si="19"/>
        <v>0.63223921833349528</v>
      </c>
      <c r="L94" s="59">
        <f t="shared" si="20"/>
        <v>274.99997166085194</v>
      </c>
      <c r="M94" s="59">
        <f t="shared" si="21"/>
        <v>549.99994332170388</v>
      </c>
      <c r="N94" s="59">
        <f>+C91+D92+D93+(D94/2)</f>
        <v>0</v>
      </c>
      <c r="O94" s="59">
        <f t="shared" si="22"/>
        <v>0</v>
      </c>
      <c r="P94" s="59">
        <f t="shared" si="23"/>
        <v>0</v>
      </c>
      <c r="Q94" s="59">
        <f t="shared" si="24"/>
        <v>182.99690123447243</v>
      </c>
      <c r="R94" s="59">
        <f t="shared" si="36"/>
        <v>182.99690123447243</v>
      </c>
      <c r="S94" s="59">
        <f t="shared" si="12"/>
        <v>182.99690123447243</v>
      </c>
      <c r="T94" s="57"/>
      <c r="U94" s="70"/>
      <c r="V94" s="14">
        <f t="shared" si="13"/>
        <v>182.99690123447243</v>
      </c>
      <c r="W94" s="43"/>
      <c r="X94" s="14">
        <f>SUM(V94:V102)/($B$88-B93)</f>
        <v>182.99690123447246</v>
      </c>
      <c r="Y94" s="37">
        <f>SUM(D92:D94)+$C$91</f>
        <v>0</v>
      </c>
      <c r="Z94" s="82">
        <f t="shared" si="25"/>
        <v>33.64150892</v>
      </c>
      <c r="AA94" s="83">
        <f t="shared" si="37"/>
        <v>0.5539948281874677</v>
      </c>
      <c r="AB94" s="68">
        <f t="shared" si="26"/>
        <v>182.99690123447198</v>
      </c>
      <c r="AC94" s="82">
        <f t="shared" si="27"/>
        <v>50.784478100000001</v>
      </c>
      <c r="AD94" s="41">
        <f t="shared" si="28"/>
        <v>0.77477323830979683</v>
      </c>
      <c r="AE94" s="68">
        <f t="shared" si="29"/>
        <v>336.99683980438203</v>
      </c>
      <c r="AF94" s="119">
        <f t="shared" si="30"/>
        <v>665</v>
      </c>
      <c r="AG94" s="42">
        <f t="shared" si="31"/>
        <v>519.99374103885407</v>
      </c>
      <c r="AH94" s="36">
        <f t="shared" si="32"/>
        <v>4.5474735088646412E-13</v>
      </c>
      <c r="AI94" s="36">
        <f t="shared" si="14"/>
        <v>182.99690123447201</v>
      </c>
      <c r="AJ94" s="38">
        <f t="shared" si="33"/>
        <v>430.97229982460311</v>
      </c>
      <c r="AK94" s="38">
        <f t="shared" si="34"/>
        <v>234.02770017539683</v>
      </c>
      <c r="AL94" s="33">
        <f t="shared" si="15"/>
        <v>26.915883003898305</v>
      </c>
      <c r="AM94" s="33">
        <f t="shared" si="16"/>
        <v>49.566782014719386</v>
      </c>
      <c r="AN94" s="53">
        <f t="shared" si="35"/>
        <v>26.915883003898305</v>
      </c>
      <c r="AO94" s="53">
        <f t="shared" si="35"/>
        <v>49.566782014719386</v>
      </c>
      <c r="AQ94" s="1"/>
      <c r="AR94" s="1"/>
      <c r="AS94" s="123" t="s">
        <v>14</v>
      </c>
      <c r="AT94" s="125">
        <v>-1</v>
      </c>
      <c r="AU94" s="159">
        <f t="shared" si="10"/>
        <v>-43</v>
      </c>
      <c r="AV94" s="156">
        <f t="shared" si="11"/>
        <v>-43</v>
      </c>
      <c r="AW94" s="161">
        <f t="shared" si="6"/>
        <v>-180.04097643594031</v>
      </c>
      <c r="AX94" s="126">
        <f t="shared" si="7"/>
        <v>180.04097643594031</v>
      </c>
      <c r="AY94" s="126">
        <f t="shared" si="8"/>
        <v>8.0409764359403084</v>
      </c>
      <c r="AZ94" s="126" t="b">
        <f t="shared" si="9"/>
        <v>0</v>
      </c>
      <c r="BA94" s="97">
        <v>7</v>
      </c>
      <c r="BM94" s="5"/>
      <c r="BQ94" s="15"/>
      <c r="BR94" s="15"/>
      <c r="BS94" s="15"/>
      <c r="BT94" s="15"/>
      <c r="BU94" s="15"/>
      <c r="BV94" s="15"/>
      <c r="BW94" s="15"/>
    </row>
    <row r="95" spans="2:75" ht="19" thickBot="1" x14ac:dyDescent="0.25">
      <c r="B95" s="95">
        <v>5</v>
      </c>
      <c r="C95" s="95"/>
      <c r="D95" s="267"/>
      <c r="E95" s="90"/>
      <c r="F95" s="65"/>
      <c r="G95" s="66">
        <v>434.96190000000001</v>
      </c>
      <c r="H95" s="66">
        <v>78.431043799999998</v>
      </c>
      <c r="I95" s="88">
        <f t="shared" si="17"/>
        <v>78.431043799999998</v>
      </c>
      <c r="J95" s="59">
        <f t="shared" si="18"/>
        <v>39.215521899999999</v>
      </c>
      <c r="K95" s="59">
        <f t="shared" si="19"/>
        <v>0.63223921833349528</v>
      </c>
      <c r="L95" s="59">
        <f t="shared" si="20"/>
        <v>274.99997166085194</v>
      </c>
      <c r="M95" s="59">
        <f t="shared" si="21"/>
        <v>549.99994332170388</v>
      </c>
      <c r="N95" s="59">
        <f>+C91+D92+D93+D94+(D95/2)</f>
        <v>0</v>
      </c>
      <c r="O95" s="59">
        <f t="shared" si="22"/>
        <v>0</v>
      </c>
      <c r="P95" s="59">
        <f t="shared" si="23"/>
        <v>0</v>
      </c>
      <c r="Q95" s="59">
        <f t="shared" si="24"/>
        <v>182.99690123447243</v>
      </c>
      <c r="R95" s="59">
        <f t="shared" si="36"/>
        <v>182.99690123447243</v>
      </c>
      <c r="S95" s="59">
        <f t="shared" si="12"/>
        <v>182.99690123447243</v>
      </c>
      <c r="T95" s="57"/>
      <c r="U95" s="70"/>
      <c r="V95" s="14">
        <f t="shared" si="13"/>
        <v>182.99690123447243</v>
      </c>
      <c r="W95" s="43"/>
      <c r="X95" s="14">
        <f>SUM(V95:V102)/($B$88-B94)</f>
        <v>182.99690123447246</v>
      </c>
      <c r="Y95" s="37">
        <f>SUM(D92:D95)+$C$91</f>
        <v>0</v>
      </c>
      <c r="Z95" s="82">
        <f t="shared" si="25"/>
        <v>33.64150892</v>
      </c>
      <c r="AA95" s="83">
        <f t="shared" si="37"/>
        <v>0.5539948281874677</v>
      </c>
      <c r="AB95" s="68">
        <f t="shared" si="26"/>
        <v>182.99690123447198</v>
      </c>
      <c r="AC95" s="82">
        <f t="shared" si="27"/>
        <v>50.784478100000001</v>
      </c>
      <c r="AD95" s="41">
        <f t="shared" si="28"/>
        <v>0.77477323830979683</v>
      </c>
      <c r="AE95" s="68">
        <f t="shared" si="29"/>
        <v>336.99683980438203</v>
      </c>
      <c r="AF95" s="119">
        <f t="shared" si="30"/>
        <v>570</v>
      </c>
      <c r="AG95" s="42">
        <f t="shared" si="31"/>
        <v>519.99374103885407</v>
      </c>
      <c r="AH95" s="36">
        <f t="shared" si="32"/>
        <v>4.5474735088646412E-13</v>
      </c>
      <c r="AI95" s="36">
        <f t="shared" si="14"/>
        <v>182.99690123447201</v>
      </c>
      <c r="AJ95" s="38">
        <f t="shared" si="33"/>
        <v>369.40482842108838</v>
      </c>
      <c r="AK95" s="38">
        <f t="shared" si="34"/>
        <v>200.59517157891156</v>
      </c>
      <c r="AL95" s="33">
        <f t="shared" si="15"/>
        <v>31.401863504548025</v>
      </c>
      <c r="AM95" s="33">
        <f t="shared" si="16"/>
        <v>57.827912350505947</v>
      </c>
      <c r="AN95" s="53">
        <f t="shared" si="35"/>
        <v>31.401863504548025</v>
      </c>
      <c r="AO95" s="53">
        <f t="shared" si="35"/>
        <v>57.827912350505947</v>
      </c>
      <c r="AQ95" s="1"/>
      <c r="AR95" s="1"/>
      <c r="AS95" s="127">
        <v>1</v>
      </c>
      <c r="AT95" s="125">
        <v>1</v>
      </c>
      <c r="AU95" s="159">
        <f t="shared" si="10"/>
        <v>0</v>
      </c>
      <c r="AV95" s="156">
        <f t="shared" si="11"/>
        <v>0</v>
      </c>
      <c r="AW95" s="161">
        <f t="shared" si="6"/>
        <v>-137.04097643594031</v>
      </c>
      <c r="AX95" s="126">
        <f t="shared" si="7"/>
        <v>137.04097643594031</v>
      </c>
      <c r="AY95" s="126">
        <f t="shared" si="8"/>
        <v>8.0409764359403084</v>
      </c>
      <c r="AZ95" s="126" t="b">
        <f t="shared" si="9"/>
        <v>0</v>
      </c>
      <c r="BA95" s="97">
        <v>8</v>
      </c>
      <c r="BT95" s="15"/>
      <c r="BU95" s="15"/>
      <c r="BV95" s="15"/>
      <c r="BW95" s="15"/>
    </row>
    <row r="96" spans="2:75" ht="19" thickBot="1" x14ac:dyDescent="0.25">
      <c r="B96" s="95">
        <v>6</v>
      </c>
      <c r="C96" s="95"/>
      <c r="D96" s="267"/>
      <c r="E96" s="90"/>
      <c r="F96" s="65"/>
      <c r="G96" s="66">
        <v>434.96190000000001</v>
      </c>
      <c r="H96" s="66">
        <v>78.431043799999998</v>
      </c>
      <c r="I96" s="88">
        <f t="shared" si="17"/>
        <v>78.431043799999998</v>
      </c>
      <c r="J96" s="59">
        <f t="shared" si="18"/>
        <v>39.215521899999999</v>
      </c>
      <c r="K96" s="59">
        <f t="shared" si="19"/>
        <v>0.63223921833349528</v>
      </c>
      <c r="L96" s="59">
        <f t="shared" si="20"/>
        <v>274.99997166085194</v>
      </c>
      <c r="M96" s="59">
        <f t="shared" si="21"/>
        <v>549.99994332170388</v>
      </c>
      <c r="N96" s="59">
        <f>+C91+D92+D93+D94+D95+(D96/2)</f>
        <v>0</v>
      </c>
      <c r="O96" s="59">
        <f t="shared" si="22"/>
        <v>0</v>
      </c>
      <c r="P96" s="59">
        <f t="shared" si="23"/>
        <v>0</v>
      </c>
      <c r="Q96" s="59">
        <f t="shared" si="24"/>
        <v>182.99690123447243</v>
      </c>
      <c r="R96" s="59">
        <f t="shared" si="36"/>
        <v>182.99690123447243</v>
      </c>
      <c r="S96" s="59">
        <f t="shared" si="12"/>
        <v>182.99690123447243</v>
      </c>
      <c r="T96" s="57"/>
      <c r="U96" s="70"/>
      <c r="V96" s="14">
        <f t="shared" si="13"/>
        <v>182.99690123447243</v>
      </c>
      <c r="W96" s="43"/>
      <c r="X96" s="14">
        <f>SUM(V96:V102)/($B$88-B95)</f>
        <v>182.99690123447243</v>
      </c>
      <c r="Y96" s="37">
        <f>SUM(D92:D96)+$C$91</f>
        <v>0</v>
      </c>
      <c r="Z96" s="82">
        <f t="shared" si="25"/>
        <v>33.64150892</v>
      </c>
      <c r="AA96" s="83">
        <f t="shared" si="37"/>
        <v>0.5539948281874677</v>
      </c>
      <c r="AB96" s="68">
        <f t="shared" si="26"/>
        <v>182.99690123447198</v>
      </c>
      <c r="AC96" s="82">
        <f t="shared" si="27"/>
        <v>50.784478100000001</v>
      </c>
      <c r="AD96" s="41">
        <f t="shared" si="28"/>
        <v>0.77477323830979683</v>
      </c>
      <c r="AE96" s="68">
        <f t="shared" si="29"/>
        <v>336.99683980438203</v>
      </c>
      <c r="AF96" s="119">
        <f t="shared" si="30"/>
        <v>475</v>
      </c>
      <c r="AG96" s="42">
        <f t="shared" si="31"/>
        <v>519.99374103885407</v>
      </c>
      <c r="AH96" s="36">
        <f t="shared" si="32"/>
        <v>4.5474735088646412E-13</v>
      </c>
      <c r="AI96" s="36">
        <f t="shared" si="14"/>
        <v>182.99690123447198</v>
      </c>
      <c r="AJ96" s="38">
        <f t="shared" si="33"/>
        <v>307.83735701757371</v>
      </c>
      <c r="AK96" s="38">
        <f t="shared" si="34"/>
        <v>167.16264298242629</v>
      </c>
      <c r="AL96" s="33">
        <f t="shared" si="15"/>
        <v>37.68223620545762</v>
      </c>
      <c r="AM96" s="33">
        <f t="shared" si="16"/>
        <v>69.393494820607145</v>
      </c>
      <c r="AN96" s="53">
        <f t="shared" si="35"/>
        <v>37.68223620545762</v>
      </c>
      <c r="AO96" s="53">
        <f t="shared" si="35"/>
        <v>69.393494820607145</v>
      </c>
      <c r="AQ96" s="1"/>
      <c r="AR96" s="1"/>
      <c r="AS96" s="127">
        <v>2</v>
      </c>
      <c r="AT96" s="125">
        <v>2</v>
      </c>
      <c r="AU96" s="159">
        <f t="shared" si="10"/>
        <v>43</v>
      </c>
      <c r="AV96" s="156">
        <f t="shared" si="11"/>
        <v>43</v>
      </c>
      <c r="AW96" s="161">
        <f t="shared" si="6"/>
        <v>-94.040976435940308</v>
      </c>
      <c r="AX96" s="126">
        <f t="shared" si="7"/>
        <v>94.040976435940308</v>
      </c>
      <c r="AY96" s="126">
        <f t="shared" si="8"/>
        <v>8.0409764359403084</v>
      </c>
      <c r="AZ96" s="126" t="b">
        <f t="shared" si="9"/>
        <v>0</v>
      </c>
      <c r="BA96" s="97">
        <v>9</v>
      </c>
      <c r="BT96" s="15"/>
      <c r="BU96" s="15"/>
      <c r="BV96" s="15"/>
      <c r="BW96" s="15"/>
    </row>
    <row r="97" spans="2:75" ht="19" thickBot="1" x14ac:dyDescent="0.25">
      <c r="B97" s="95">
        <v>7</v>
      </c>
      <c r="C97" s="95"/>
      <c r="D97" s="267"/>
      <c r="E97" s="90"/>
      <c r="F97" s="65"/>
      <c r="G97" s="66">
        <v>434.96190000000001</v>
      </c>
      <c r="H97" s="66">
        <v>78.431043799999998</v>
      </c>
      <c r="I97" s="88">
        <f t="shared" si="17"/>
        <v>78.431043799999998</v>
      </c>
      <c r="J97" s="59">
        <f t="shared" si="18"/>
        <v>39.215521899999999</v>
      </c>
      <c r="K97" s="59">
        <f t="shared" si="19"/>
        <v>0.63223921833349528</v>
      </c>
      <c r="L97" s="59">
        <f t="shared" si="20"/>
        <v>274.99997166085194</v>
      </c>
      <c r="M97" s="59">
        <f t="shared" si="21"/>
        <v>549.99994332170388</v>
      </c>
      <c r="N97" s="59">
        <f>+C91+D92+D93+D94+D95+D96+(D97/2)</f>
        <v>0</v>
      </c>
      <c r="O97" s="59">
        <f t="shared" si="22"/>
        <v>0</v>
      </c>
      <c r="P97" s="59">
        <f t="shared" si="23"/>
        <v>0</v>
      </c>
      <c r="Q97" s="59">
        <f t="shared" si="24"/>
        <v>182.99690123447243</v>
      </c>
      <c r="R97" s="59">
        <f t="shared" si="36"/>
        <v>182.99690123447243</v>
      </c>
      <c r="S97" s="59">
        <f t="shared" si="12"/>
        <v>182.99690123447243</v>
      </c>
      <c r="T97" s="57"/>
      <c r="U97" s="70"/>
      <c r="V97" s="14">
        <f t="shared" si="13"/>
        <v>182.99690123447243</v>
      </c>
      <c r="W97" s="43"/>
      <c r="X97" s="14">
        <f>SUM(V97:V102)/($B$88-B96)</f>
        <v>182.99690123447243</v>
      </c>
      <c r="Y97" s="37">
        <f>SUM(D92:D97)+$C$91</f>
        <v>0</v>
      </c>
      <c r="Z97" s="82">
        <f t="shared" si="25"/>
        <v>33.64150892</v>
      </c>
      <c r="AA97" s="83">
        <f t="shared" si="37"/>
        <v>0.5539948281874677</v>
      </c>
      <c r="AB97" s="68">
        <f t="shared" si="26"/>
        <v>182.99690123447198</v>
      </c>
      <c r="AC97" s="82">
        <f t="shared" si="27"/>
        <v>50.784478100000001</v>
      </c>
      <c r="AD97" s="41">
        <f t="shared" si="28"/>
        <v>0.77477323830979683</v>
      </c>
      <c r="AE97" s="68">
        <f t="shared" si="29"/>
        <v>336.99683980438203</v>
      </c>
      <c r="AF97" s="119">
        <f t="shared" si="30"/>
        <v>380</v>
      </c>
      <c r="AG97" s="42">
        <f t="shared" si="31"/>
        <v>519.99374103885407</v>
      </c>
      <c r="AH97" s="36">
        <f t="shared" si="32"/>
        <v>4.5474735088646412E-13</v>
      </c>
      <c r="AI97" s="36">
        <f t="shared" si="14"/>
        <v>182.99690123447198</v>
      </c>
      <c r="AJ97" s="38">
        <f t="shared" si="33"/>
        <v>246.26988561405898</v>
      </c>
      <c r="AK97" s="38">
        <f t="shared" si="34"/>
        <v>133.73011438594102</v>
      </c>
      <c r="AL97" s="33">
        <f t="shared" si="15"/>
        <v>47.102795256822027</v>
      </c>
      <c r="AM97" s="33">
        <f t="shared" si="16"/>
        <v>86.741868525758932</v>
      </c>
      <c r="AN97" s="53">
        <f t="shared" si="35"/>
        <v>47.102795256822027</v>
      </c>
      <c r="AO97" s="53">
        <f t="shared" si="35"/>
        <v>86.741868525758932</v>
      </c>
      <c r="AQ97" s="1"/>
      <c r="AR97" s="1"/>
      <c r="AS97" s="127">
        <v>3</v>
      </c>
      <c r="AT97" s="125">
        <v>3</v>
      </c>
      <c r="AU97" s="159">
        <f t="shared" si="10"/>
        <v>86</v>
      </c>
      <c r="AV97" s="156">
        <f t="shared" si="11"/>
        <v>86</v>
      </c>
      <c r="AW97" s="161">
        <f t="shared" si="6"/>
        <v>-51.040976435940308</v>
      </c>
      <c r="AX97" s="126">
        <f t="shared" si="7"/>
        <v>51.040976435940308</v>
      </c>
      <c r="AY97" s="126">
        <f t="shared" si="8"/>
        <v>8.0409764359403084</v>
      </c>
      <c r="AZ97" s="126" t="b">
        <f t="shared" si="9"/>
        <v>0</v>
      </c>
      <c r="BA97" s="97">
        <v>10</v>
      </c>
      <c r="BT97" s="15"/>
      <c r="BU97" s="15"/>
      <c r="BV97" s="15"/>
      <c r="BW97" s="15"/>
    </row>
    <row r="98" spans="2:75" ht="19" thickBot="1" x14ac:dyDescent="0.25">
      <c r="B98" s="95">
        <v>8</v>
      </c>
      <c r="C98" s="95"/>
      <c r="D98" s="267"/>
      <c r="E98" s="90"/>
      <c r="F98" s="65"/>
      <c r="G98" s="66">
        <v>434.96190000000001</v>
      </c>
      <c r="H98" s="66">
        <v>78.431043799999998</v>
      </c>
      <c r="I98" s="88">
        <f t="shared" si="17"/>
        <v>78.431043799999998</v>
      </c>
      <c r="J98" s="59">
        <f t="shared" si="18"/>
        <v>39.215521899999999</v>
      </c>
      <c r="K98" s="59">
        <f t="shared" si="19"/>
        <v>0.63223921833349528</v>
      </c>
      <c r="L98" s="59">
        <f t="shared" si="20"/>
        <v>274.99997166085194</v>
      </c>
      <c r="M98" s="59">
        <f t="shared" si="21"/>
        <v>549.99994332170388</v>
      </c>
      <c r="N98" s="59">
        <f>+C91+D92+D93+D94+D95+D96+D97+(D98/2)</f>
        <v>0</v>
      </c>
      <c r="O98" s="59">
        <f t="shared" si="22"/>
        <v>0</v>
      </c>
      <c r="P98" s="59">
        <f t="shared" si="23"/>
        <v>0</v>
      </c>
      <c r="Q98" s="59">
        <f t="shared" si="24"/>
        <v>182.99690123447243</v>
      </c>
      <c r="R98" s="59">
        <f t="shared" si="36"/>
        <v>182.99690123447243</v>
      </c>
      <c r="S98" s="59">
        <f t="shared" si="12"/>
        <v>182.99690123447243</v>
      </c>
      <c r="T98" s="57"/>
      <c r="U98" s="70"/>
      <c r="V98" s="14">
        <f t="shared" si="13"/>
        <v>182.99690123447243</v>
      </c>
      <c r="W98" s="43"/>
      <c r="X98" s="14">
        <f>SUM(V98:V102)/($B$88-B97)</f>
        <v>182.9969012344724</v>
      </c>
      <c r="Y98" s="37">
        <f>SUM(D92:D98)+$C$91</f>
        <v>0</v>
      </c>
      <c r="Z98" s="82">
        <f t="shared" si="25"/>
        <v>33.64150892</v>
      </c>
      <c r="AA98" s="83">
        <f t="shared" si="37"/>
        <v>0.5539948281874677</v>
      </c>
      <c r="AB98" s="68">
        <f t="shared" si="26"/>
        <v>182.99690123447198</v>
      </c>
      <c r="AC98" s="82">
        <f t="shared" si="27"/>
        <v>50.784478100000001</v>
      </c>
      <c r="AD98" s="41">
        <f t="shared" si="28"/>
        <v>0.77477323830979683</v>
      </c>
      <c r="AE98" s="68">
        <f t="shared" si="29"/>
        <v>336.99683980438203</v>
      </c>
      <c r="AF98" s="119">
        <f t="shared" si="30"/>
        <v>285</v>
      </c>
      <c r="AG98" s="42">
        <f t="shared" si="31"/>
        <v>519.99374103885407</v>
      </c>
      <c r="AH98" s="36">
        <f t="shared" si="32"/>
        <v>4.5474735088646412E-13</v>
      </c>
      <c r="AI98" s="36">
        <f t="shared" si="14"/>
        <v>182.99690123447195</v>
      </c>
      <c r="AJ98" s="38">
        <f t="shared" si="33"/>
        <v>184.70241421054428</v>
      </c>
      <c r="AK98" s="38">
        <f t="shared" si="34"/>
        <v>100.29758578945575</v>
      </c>
      <c r="AL98" s="33">
        <f t="shared" si="15"/>
        <v>62.803727009096022</v>
      </c>
      <c r="AM98" s="33">
        <f t="shared" si="16"/>
        <v>115.65582470101194</v>
      </c>
      <c r="AN98" s="53">
        <f t="shared" si="35"/>
        <v>62.803727009096022</v>
      </c>
      <c r="AO98" s="53">
        <f t="shared" si="35"/>
        <v>115.65582470101194</v>
      </c>
      <c r="AQ98" s="1"/>
      <c r="AR98" s="1"/>
      <c r="AS98" s="127">
        <v>4</v>
      </c>
      <c r="AT98" s="125">
        <v>4</v>
      </c>
      <c r="AU98" s="159">
        <f t="shared" si="10"/>
        <v>129</v>
      </c>
      <c r="AV98" s="156">
        <f t="shared" si="11"/>
        <v>129</v>
      </c>
      <c r="AW98" s="161">
        <f t="shared" si="6"/>
        <v>-8.0409764359403084</v>
      </c>
      <c r="AX98" s="126">
        <f t="shared" si="7"/>
        <v>8.0409764359403084</v>
      </c>
      <c r="AY98" s="126">
        <f t="shared" si="8"/>
        <v>8.0409764359403084</v>
      </c>
      <c r="AZ98" s="126">
        <f t="shared" si="9"/>
        <v>4</v>
      </c>
      <c r="BA98" s="97">
        <v>11</v>
      </c>
      <c r="BT98" s="15"/>
      <c r="BU98" s="15"/>
      <c r="BV98" s="15"/>
      <c r="BW98" s="15"/>
    </row>
    <row r="99" spans="2:75" ht="19" thickBot="1" x14ac:dyDescent="0.25">
      <c r="B99" s="95">
        <v>9</v>
      </c>
      <c r="C99" s="95"/>
      <c r="D99" s="267"/>
      <c r="E99" s="90"/>
      <c r="F99" s="65"/>
      <c r="G99" s="66">
        <v>434.96190000000001</v>
      </c>
      <c r="H99" s="66">
        <v>78.431043799999998</v>
      </c>
      <c r="I99" s="88">
        <f t="shared" si="17"/>
        <v>78.431043799999998</v>
      </c>
      <c r="J99" s="59">
        <f t="shared" si="18"/>
        <v>39.215521899999999</v>
      </c>
      <c r="K99" s="59">
        <f t="shared" si="19"/>
        <v>0.63223921833349528</v>
      </c>
      <c r="L99" s="59">
        <f t="shared" si="20"/>
        <v>274.99997166085194</v>
      </c>
      <c r="M99" s="59">
        <f t="shared" si="21"/>
        <v>549.99994332170388</v>
      </c>
      <c r="N99" s="59">
        <f>+C91+D92+D93+D94+D95+D96+D97+D98+(D99/2)</f>
        <v>0</v>
      </c>
      <c r="O99" s="59">
        <f t="shared" si="22"/>
        <v>0</v>
      </c>
      <c r="P99" s="59">
        <f t="shared" si="23"/>
        <v>0</v>
      </c>
      <c r="Q99" s="59">
        <f t="shared" si="24"/>
        <v>182.99690123447243</v>
      </c>
      <c r="R99" s="59">
        <f t="shared" si="36"/>
        <v>182.99690123447243</v>
      </c>
      <c r="S99" s="59">
        <f t="shared" si="12"/>
        <v>182.99690123447243</v>
      </c>
      <c r="T99" s="57"/>
      <c r="U99" s="70"/>
      <c r="V99" s="14">
        <f t="shared" si="13"/>
        <v>182.99690123447243</v>
      </c>
      <c r="W99" s="43"/>
      <c r="X99" s="14">
        <f>SUM(V99:V102)/($B$88-B98)</f>
        <v>182.99690123447243</v>
      </c>
      <c r="Y99" s="37">
        <f>SUM(D92:D99)+$C$91</f>
        <v>0</v>
      </c>
      <c r="Z99" s="82">
        <f t="shared" si="25"/>
        <v>33.64150892</v>
      </c>
      <c r="AA99" s="83">
        <f t="shared" si="37"/>
        <v>0.5539948281874677</v>
      </c>
      <c r="AB99" s="68">
        <f t="shared" si="26"/>
        <v>182.99690123447198</v>
      </c>
      <c r="AC99" s="82">
        <f t="shared" si="27"/>
        <v>50.784478100000001</v>
      </c>
      <c r="AD99" s="41">
        <f t="shared" si="28"/>
        <v>0.77477323830979683</v>
      </c>
      <c r="AE99" s="68">
        <f t="shared" si="29"/>
        <v>336.99683980438203</v>
      </c>
      <c r="AF99" s="119">
        <f t="shared" si="30"/>
        <v>190</v>
      </c>
      <c r="AG99" s="42">
        <f t="shared" si="31"/>
        <v>519.99374103885407</v>
      </c>
      <c r="AH99" s="36">
        <f t="shared" si="32"/>
        <v>4.5474735088646412E-13</v>
      </c>
      <c r="AI99" s="36">
        <f t="shared" si="14"/>
        <v>182.99690123447198</v>
      </c>
      <c r="AJ99" s="38">
        <f t="shared" si="33"/>
        <v>123.13494280702949</v>
      </c>
      <c r="AK99" s="38">
        <f t="shared" si="34"/>
        <v>66.865057192970511</v>
      </c>
      <c r="AL99" s="33">
        <f t="shared" si="15"/>
        <v>94.205590513644054</v>
      </c>
      <c r="AM99" s="33">
        <f t="shared" si="16"/>
        <v>173.48373705151786</v>
      </c>
      <c r="AN99" s="53">
        <f t="shared" si="35"/>
        <v>94.205590513644054</v>
      </c>
      <c r="AO99" s="53">
        <f t="shared" si="35"/>
        <v>173.48373705151786</v>
      </c>
      <c r="AQ99" s="1"/>
      <c r="AR99" s="1"/>
      <c r="AS99" s="127">
        <v>5</v>
      </c>
      <c r="AT99" s="125">
        <v>5</v>
      </c>
      <c r="AU99" s="159">
        <f t="shared" si="10"/>
        <v>172</v>
      </c>
      <c r="AV99" s="156">
        <f t="shared" si="11"/>
        <v>172</v>
      </c>
      <c r="AW99" s="161">
        <f t="shared" si="6"/>
        <v>34.959023564059692</v>
      </c>
      <c r="AX99" s="126">
        <f t="shared" si="7"/>
        <v>34.959023564059692</v>
      </c>
      <c r="AY99" s="126">
        <f t="shared" si="8"/>
        <v>8.0409764359403084</v>
      </c>
      <c r="AZ99" s="126" t="b">
        <f t="shared" si="9"/>
        <v>0</v>
      </c>
      <c r="BA99" s="97">
        <v>12</v>
      </c>
      <c r="BT99" s="15"/>
      <c r="BU99" s="15"/>
      <c r="BV99" s="15"/>
      <c r="BW99" s="15"/>
    </row>
    <row r="100" spans="2:75" ht="19" thickBot="1" x14ac:dyDescent="0.25">
      <c r="B100" s="95">
        <v>10</v>
      </c>
      <c r="C100" s="95"/>
      <c r="D100" s="267"/>
      <c r="E100" s="90"/>
      <c r="F100" s="65"/>
      <c r="G100" s="66">
        <v>434.96190000000001</v>
      </c>
      <c r="H100" s="66">
        <v>78.431043799999998</v>
      </c>
      <c r="I100" s="88">
        <f t="shared" si="17"/>
        <v>78.431043799999998</v>
      </c>
      <c r="J100" s="59">
        <f t="shared" si="18"/>
        <v>39.215521899999999</v>
      </c>
      <c r="K100" s="59">
        <f t="shared" si="19"/>
        <v>0.63223921833349528</v>
      </c>
      <c r="L100" s="59">
        <f t="shared" si="20"/>
        <v>274.99997166085194</v>
      </c>
      <c r="M100" s="59">
        <f t="shared" si="21"/>
        <v>549.99994332170388</v>
      </c>
      <c r="N100" s="59">
        <f>+C91+D92+D93+D94+D95+D96+D97+D98+D99+(D100/2)</f>
        <v>0</v>
      </c>
      <c r="O100" s="59">
        <f t="shared" si="22"/>
        <v>0</v>
      </c>
      <c r="P100" s="59">
        <f t="shared" si="23"/>
        <v>0</v>
      </c>
      <c r="Q100" s="59">
        <f t="shared" si="24"/>
        <v>182.99690123447243</v>
      </c>
      <c r="R100" s="59">
        <f t="shared" si="36"/>
        <v>182.99690123447243</v>
      </c>
      <c r="S100" s="59">
        <f t="shared" si="12"/>
        <v>182.99690123447243</v>
      </c>
      <c r="T100" s="57"/>
      <c r="U100" s="70"/>
      <c r="V100" s="14">
        <f t="shared" si="13"/>
        <v>182.99690123447243</v>
      </c>
      <c r="W100" s="43"/>
      <c r="X100" s="14">
        <f>SUM(V100:V102)/($B$88-B99)</f>
        <v>182.99690123447243</v>
      </c>
      <c r="Y100" s="37">
        <f>SUM(D92:D100)+$C$91</f>
        <v>0</v>
      </c>
      <c r="Z100" s="82">
        <f t="shared" si="25"/>
        <v>33.64150892</v>
      </c>
      <c r="AA100" s="83">
        <f t="shared" si="37"/>
        <v>0.5539948281874677</v>
      </c>
      <c r="AB100" s="68">
        <f t="shared" si="26"/>
        <v>182.99690123447198</v>
      </c>
      <c r="AC100" s="82">
        <f t="shared" si="27"/>
        <v>50.784478100000001</v>
      </c>
      <c r="AD100" s="41">
        <f t="shared" si="28"/>
        <v>0.77477323830979683</v>
      </c>
      <c r="AE100" s="68">
        <f t="shared" si="29"/>
        <v>336.99683980438203</v>
      </c>
      <c r="AF100" s="119">
        <f t="shared" si="30"/>
        <v>95</v>
      </c>
      <c r="AG100" s="42">
        <f t="shared" si="31"/>
        <v>519.99374103885407</v>
      </c>
      <c r="AH100" s="36">
        <f t="shared" si="32"/>
        <v>4.5474735088646412E-13</v>
      </c>
      <c r="AI100" s="36">
        <f t="shared" si="14"/>
        <v>182.99690123447198</v>
      </c>
      <c r="AJ100" s="38">
        <f t="shared" si="33"/>
        <v>61.567471403514745</v>
      </c>
      <c r="AK100" s="38">
        <f t="shared" si="34"/>
        <v>33.432528596485255</v>
      </c>
      <c r="AL100" s="33">
        <f t="shared" si="15"/>
        <v>188.41118102728811</v>
      </c>
      <c r="AM100" s="33">
        <f t="shared" si="16"/>
        <v>346.96747410303573</v>
      </c>
      <c r="AN100" s="53">
        <f t="shared" si="35"/>
        <v>188.41118102728811</v>
      </c>
      <c r="AO100" s="53">
        <f t="shared" si="35"/>
        <v>346.96747410303573</v>
      </c>
      <c r="AQ100" s="1"/>
      <c r="AR100" s="1"/>
      <c r="AS100" s="127">
        <v>6</v>
      </c>
      <c r="AT100" s="125">
        <v>6</v>
      </c>
      <c r="AU100" s="159">
        <f t="shared" si="10"/>
        <v>215</v>
      </c>
      <c r="AV100" s="156">
        <f t="shared" si="11"/>
        <v>215</v>
      </c>
      <c r="AW100" s="161">
        <f t="shared" si="6"/>
        <v>77.959023564059692</v>
      </c>
      <c r="AX100" s="126">
        <f t="shared" si="7"/>
        <v>77.959023564059692</v>
      </c>
      <c r="AY100" s="126">
        <f t="shared" si="8"/>
        <v>8.0409764359403084</v>
      </c>
      <c r="AZ100" s="126" t="b">
        <f t="shared" si="9"/>
        <v>0</v>
      </c>
      <c r="BA100" s="97">
        <v>13</v>
      </c>
      <c r="BT100" s="15"/>
      <c r="BU100" s="15"/>
      <c r="BV100" s="15"/>
      <c r="BW100" s="15"/>
    </row>
    <row r="101" spans="2:75" ht="19" hidden="1" thickBot="1" x14ac:dyDescent="0.25">
      <c r="B101" s="95">
        <v>11</v>
      </c>
      <c r="C101" s="95"/>
      <c r="D101" s="145"/>
      <c r="E101" s="90"/>
      <c r="F101" s="65"/>
      <c r="G101" s="66">
        <v>434.96190000000001</v>
      </c>
      <c r="H101" s="66">
        <v>78.431043799999998</v>
      </c>
      <c r="I101" s="88">
        <f t="shared" si="17"/>
        <v>78.431043799999998</v>
      </c>
      <c r="J101" s="59">
        <f t="shared" si="18"/>
        <v>39.215521899999999</v>
      </c>
      <c r="K101" s="59">
        <f t="shared" si="19"/>
        <v>0.63223921833349528</v>
      </c>
      <c r="L101" s="59">
        <f t="shared" si="20"/>
        <v>274.99997166085194</v>
      </c>
      <c r="M101" s="59">
        <f t="shared" si="21"/>
        <v>549.99994332170388</v>
      </c>
      <c r="N101" s="59">
        <f>+C91+D92+D93+D94+D95+D96+D97+D98+D99+D100+(D101/2)</f>
        <v>0</v>
      </c>
      <c r="O101" s="59">
        <f t="shared" si="22"/>
        <v>0</v>
      </c>
      <c r="P101" s="59">
        <f t="shared" si="23"/>
        <v>0</v>
      </c>
      <c r="Q101" s="59">
        <f t="shared" si="24"/>
        <v>182.99690123447243</v>
      </c>
      <c r="R101" s="59">
        <f t="shared" si="36"/>
        <v>182.99690123447243</v>
      </c>
      <c r="S101" s="59">
        <f t="shared" si="12"/>
        <v>182.99690123447243</v>
      </c>
      <c r="T101" s="57"/>
      <c r="U101" s="70"/>
      <c r="V101" s="14">
        <f t="shared" si="13"/>
        <v>0</v>
      </c>
      <c r="W101" s="43"/>
      <c r="X101" s="14" t="e">
        <f>SUM(V101:V102)/($B$88-B100)</f>
        <v>#DIV/0!</v>
      </c>
      <c r="Y101" s="37">
        <f>SUM(D92:D101)+$C$91</f>
        <v>0</v>
      </c>
      <c r="Z101" s="82">
        <f t="shared" si="25"/>
        <v>33.64150892</v>
      </c>
      <c r="AA101" s="83">
        <f t="shared" si="37"/>
        <v>0.5539948281874677</v>
      </c>
      <c r="AB101" s="68">
        <f t="shared" si="26"/>
        <v>182.99690123447198</v>
      </c>
      <c r="AC101" s="82">
        <f t="shared" si="27"/>
        <v>50.784478100000001</v>
      </c>
      <c r="AD101" s="41">
        <f t="shared" si="28"/>
        <v>0.77477323830979683</v>
      </c>
      <c r="AE101" s="68">
        <f t="shared" si="29"/>
        <v>336.99683980438203</v>
      </c>
      <c r="AF101" s="119">
        <f t="shared" si="30"/>
        <v>0</v>
      </c>
      <c r="AG101" s="42">
        <f t="shared" si="31"/>
        <v>519.99374103885407</v>
      </c>
      <c r="AH101" s="36">
        <f t="shared" si="32"/>
        <v>-182.99690123447198</v>
      </c>
      <c r="AI101" s="36" t="e">
        <f t="shared" si="14"/>
        <v>#DIV/0!</v>
      </c>
      <c r="AJ101" s="38" t="e">
        <f t="shared" si="33"/>
        <v>#DIV/0!</v>
      </c>
      <c r="AK101" s="38" t="e">
        <f t="shared" si="34"/>
        <v>#DIV/0!</v>
      </c>
      <c r="AL101" s="33" t="e">
        <f t="shared" si="15"/>
        <v>#DIV/0!</v>
      </c>
      <c r="AM101" s="33" t="e">
        <f t="shared" si="16"/>
        <v>#DIV/0!</v>
      </c>
      <c r="AN101" s="53" t="e">
        <f t="shared" si="35"/>
        <v>#DIV/0!</v>
      </c>
      <c r="AO101" s="53" t="e">
        <f t="shared" si="35"/>
        <v>#DIV/0!</v>
      </c>
      <c r="AQ101" s="1"/>
      <c r="AR101" s="1"/>
      <c r="AS101" s="123" t="s">
        <v>43</v>
      </c>
      <c r="AT101" s="125">
        <v>61</v>
      </c>
      <c r="AU101" s="159">
        <f t="shared" si="10"/>
        <v>258</v>
      </c>
      <c r="AV101" s="156">
        <f t="shared" si="11"/>
        <v>258</v>
      </c>
      <c r="AW101" s="161">
        <f t="shared" si="6"/>
        <v>120.95902356405969</v>
      </c>
      <c r="AX101" s="126">
        <f t="shared" si="7"/>
        <v>120.95902356405969</v>
      </c>
      <c r="AY101" s="126">
        <f t="shared" si="8"/>
        <v>8.0409764359403084</v>
      </c>
      <c r="AZ101" s="126" t="b">
        <f t="shared" si="9"/>
        <v>0</v>
      </c>
      <c r="BA101" s="97">
        <v>14</v>
      </c>
      <c r="BT101" s="15"/>
      <c r="BU101" s="15"/>
      <c r="BV101" s="15"/>
      <c r="BW101" s="15"/>
    </row>
    <row r="102" spans="2:75" ht="19" hidden="1" thickBot="1" x14ac:dyDescent="0.25">
      <c r="B102" s="95">
        <v>12</v>
      </c>
      <c r="C102" s="95"/>
      <c r="D102" s="145"/>
      <c r="E102" s="90"/>
      <c r="F102" s="65"/>
      <c r="G102" s="66">
        <v>434.96190000000001</v>
      </c>
      <c r="H102" s="66">
        <v>78.431043799999998</v>
      </c>
      <c r="I102" s="88">
        <f t="shared" si="17"/>
        <v>78.431043799999998</v>
      </c>
      <c r="J102" s="59">
        <f t="shared" si="18"/>
        <v>39.215521899999999</v>
      </c>
      <c r="K102" s="59">
        <f t="shared" si="19"/>
        <v>0.63223921833349528</v>
      </c>
      <c r="L102" s="59">
        <f t="shared" si="20"/>
        <v>274.99997166085194</v>
      </c>
      <c r="M102" s="59">
        <f t="shared" si="21"/>
        <v>549.99994332170388</v>
      </c>
      <c r="N102" s="59">
        <f>+C91+D92+D93+D94+D95+D96+D97+D98+D99+D100+D101+(D102/2)</f>
        <v>0</v>
      </c>
      <c r="O102" s="59">
        <f t="shared" si="22"/>
        <v>0</v>
      </c>
      <c r="P102" s="59">
        <f t="shared" si="23"/>
        <v>0</v>
      </c>
      <c r="Q102" s="59">
        <f t="shared" si="24"/>
        <v>182.99690123447243</v>
      </c>
      <c r="R102" s="59">
        <f t="shared" si="36"/>
        <v>182.99690123447243</v>
      </c>
      <c r="S102" s="59">
        <f t="shared" si="12"/>
        <v>182.99690123447243</v>
      </c>
      <c r="T102" s="57"/>
      <c r="U102" s="70"/>
      <c r="V102" s="14">
        <f t="shared" si="13"/>
        <v>0</v>
      </c>
      <c r="W102" s="43"/>
      <c r="X102" s="14">
        <f>SUM(V102)/($B$88-B101)</f>
        <v>0</v>
      </c>
      <c r="Y102" s="37">
        <f>SUM(D92:D102)+$C$91</f>
        <v>0</v>
      </c>
      <c r="Z102" s="82">
        <f t="shared" si="25"/>
        <v>33.64150892</v>
      </c>
      <c r="AA102" s="83">
        <f t="shared" si="37"/>
        <v>0.5539948281874677</v>
      </c>
      <c r="AB102" s="68">
        <f t="shared" si="26"/>
        <v>182.99690123447198</v>
      </c>
      <c r="AC102" s="82">
        <f t="shared" si="27"/>
        <v>50.784478100000001</v>
      </c>
      <c r="AD102" s="41">
        <f t="shared" si="28"/>
        <v>0.77477323830979683</v>
      </c>
      <c r="AE102" s="68">
        <f t="shared" si="29"/>
        <v>336.99683980438203</v>
      </c>
      <c r="AF102" s="119">
        <f t="shared" si="30"/>
        <v>-95</v>
      </c>
      <c r="AG102" s="42">
        <f t="shared" si="31"/>
        <v>519.99374103885407</v>
      </c>
      <c r="AH102" s="36">
        <f t="shared" si="32"/>
        <v>-182.99690123447198</v>
      </c>
      <c r="AI102" s="36">
        <f t="shared" si="14"/>
        <v>182.99690123447198</v>
      </c>
      <c r="AJ102" s="38">
        <f t="shared" si="33"/>
        <v>-61.567471403514745</v>
      </c>
      <c r="AK102" s="38">
        <f t="shared" si="34"/>
        <v>-33.432528596485255</v>
      </c>
      <c r="AL102" s="33">
        <f t="shared" si="15"/>
        <v>-188.41118102728811</v>
      </c>
      <c r="AM102" s="33">
        <f t="shared" si="16"/>
        <v>-346.96747410303573</v>
      </c>
      <c r="AN102" s="53">
        <f t="shared" si="35"/>
        <v>188.41118102728811</v>
      </c>
      <c r="AO102" s="53">
        <f t="shared" si="35"/>
        <v>346.96747410303573</v>
      </c>
      <c r="AQ102" s="1"/>
      <c r="AR102" s="1"/>
      <c r="AS102" s="127" t="s">
        <v>44</v>
      </c>
      <c r="AT102" s="125">
        <v>62</v>
      </c>
      <c r="AU102" s="159">
        <f t="shared" si="10"/>
        <v>301</v>
      </c>
      <c r="AV102" s="156">
        <f t="shared" si="11"/>
        <v>301</v>
      </c>
      <c r="AW102" s="161">
        <f t="shared" si="6"/>
        <v>163.95902356405969</v>
      </c>
      <c r="AX102" s="126">
        <f t="shared" si="7"/>
        <v>163.95902356405969</v>
      </c>
      <c r="AY102" s="126">
        <f t="shared" si="8"/>
        <v>8.0409764359403084</v>
      </c>
      <c r="AZ102" s="126" t="b">
        <f t="shared" si="9"/>
        <v>0</v>
      </c>
      <c r="BA102" s="97">
        <v>15</v>
      </c>
      <c r="BT102" s="15"/>
      <c r="BU102" s="15"/>
      <c r="BV102" s="15"/>
      <c r="BW102" s="15"/>
    </row>
    <row r="103" spans="2:75" ht="18" x14ac:dyDescent="0.2">
      <c r="G103" s="3"/>
      <c r="H103" s="3"/>
      <c r="I103" s="3"/>
      <c r="AQ103" s="1"/>
      <c r="AR103" s="1"/>
      <c r="AS103" s="127">
        <v>7</v>
      </c>
      <c r="AT103" s="125">
        <v>7</v>
      </c>
      <c r="AU103" s="159">
        <f t="shared" si="10"/>
        <v>344</v>
      </c>
      <c r="AV103" s="156">
        <f t="shared" si="11"/>
        <v>344</v>
      </c>
      <c r="AW103" s="161">
        <f t="shared" si="6"/>
        <v>206.95902356405969</v>
      </c>
      <c r="AX103" s="126">
        <f t="shared" si="7"/>
        <v>206.95902356405969</v>
      </c>
      <c r="AY103" s="126">
        <f t="shared" si="8"/>
        <v>8.0409764359403084</v>
      </c>
      <c r="AZ103" s="126" t="b">
        <f t="shared" si="9"/>
        <v>0</v>
      </c>
      <c r="BA103" s="97">
        <v>16</v>
      </c>
    </row>
    <row r="104" spans="2:75" ht="18" x14ac:dyDescent="0.2">
      <c r="G104" s="3"/>
      <c r="H104" s="3"/>
      <c r="I104" s="3"/>
      <c r="AQ104" s="1"/>
      <c r="AR104" s="1"/>
      <c r="AS104" s="123">
        <v>8</v>
      </c>
      <c r="AT104" s="125">
        <v>8</v>
      </c>
      <c r="AU104" s="159">
        <f t="shared" si="10"/>
        <v>387</v>
      </c>
      <c r="AV104" s="156">
        <f t="shared" si="11"/>
        <v>387</v>
      </c>
      <c r="AW104" s="161">
        <f t="shared" si="6"/>
        <v>249.95902356405969</v>
      </c>
      <c r="AX104" s="126">
        <f t="shared" si="7"/>
        <v>249.95902356405969</v>
      </c>
      <c r="AY104" s="126">
        <f t="shared" si="8"/>
        <v>8.0409764359403084</v>
      </c>
      <c r="AZ104" s="126" t="b">
        <f t="shared" si="9"/>
        <v>0</v>
      </c>
      <c r="BA104" s="97">
        <v>17</v>
      </c>
    </row>
    <row r="105" spans="2:75" ht="18" x14ac:dyDescent="0.2">
      <c r="G105" s="3"/>
      <c r="H105" s="3"/>
      <c r="I105" s="3"/>
      <c r="AQ105" s="1"/>
      <c r="AR105" s="1"/>
      <c r="AS105" s="123" t="s">
        <v>45</v>
      </c>
      <c r="AT105" s="125">
        <v>-1</v>
      </c>
      <c r="AU105" s="159">
        <f t="shared" si="10"/>
        <v>430</v>
      </c>
      <c r="AV105" s="156">
        <f t="shared" si="11"/>
        <v>430</v>
      </c>
      <c r="AW105" s="161">
        <f t="shared" si="6"/>
        <v>292.95902356405969</v>
      </c>
      <c r="AX105" s="126">
        <f t="shared" si="7"/>
        <v>292.95902356405969</v>
      </c>
      <c r="AY105" s="126">
        <f t="shared" si="8"/>
        <v>8.0409764359403084</v>
      </c>
      <c r="AZ105" s="126" t="b">
        <f t="shared" si="9"/>
        <v>0</v>
      </c>
      <c r="BA105" s="97">
        <v>18</v>
      </c>
    </row>
    <row r="106" spans="2:75" ht="18" x14ac:dyDescent="0.2">
      <c r="B106" s="45"/>
      <c r="AQ106" s="1"/>
      <c r="AR106" s="1"/>
      <c r="AS106" s="123" t="s">
        <v>46</v>
      </c>
      <c r="AT106" s="125">
        <v>-2</v>
      </c>
      <c r="AU106" s="159">
        <f t="shared" si="10"/>
        <v>473</v>
      </c>
      <c r="AV106" s="156">
        <f t="shared" si="11"/>
        <v>473</v>
      </c>
      <c r="AW106" s="161">
        <f t="shared" si="6"/>
        <v>335.95902356405969</v>
      </c>
      <c r="AX106" s="126">
        <f t="shared" si="7"/>
        <v>335.95902356405969</v>
      </c>
      <c r="AY106" s="126">
        <f t="shared" si="8"/>
        <v>8.0409764359403084</v>
      </c>
      <c r="AZ106" s="126" t="b">
        <f t="shared" si="9"/>
        <v>0</v>
      </c>
      <c r="BA106" s="97">
        <v>19</v>
      </c>
    </row>
    <row r="107" spans="2:75" ht="18" x14ac:dyDescent="0.2">
      <c r="AQ107" s="1"/>
      <c r="AR107" s="1"/>
      <c r="AS107" s="123" t="s">
        <v>13</v>
      </c>
      <c r="AT107" s="125">
        <v>-3</v>
      </c>
      <c r="AU107" s="159">
        <f t="shared" si="10"/>
        <v>516</v>
      </c>
      <c r="AV107" s="156">
        <f t="shared" si="11"/>
        <v>516</v>
      </c>
      <c r="AW107" s="161">
        <f t="shared" si="6"/>
        <v>378.95902356405969</v>
      </c>
      <c r="AX107" s="126">
        <f t="shared" si="7"/>
        <v>378.95902356405969</v>
      </c>
      <c r="AY107" s="126">
        <f t="shared" si="8"/>
        <v>8.0409764359403084</v>
      </c>
      <c r="AZ107" s="126" t="b">
        <f t="shared" si="9"/>
        <v>0</v>
      </c>
      <c r="BA107" s="97">
        <v>20</v>
      </c>
    </row>
    <row r="108" spans="2:75" ht="18" x14ac:dyDescent="0.2">
      <c r="AQ108" s="1"/>
      <c r="AR108" s="1"/>
      <c r="AS108" s="123" t="s">
        <v>47</v>
      </c>
      <c r="AT108" s="125">
        <v>-4</v>
      </c>
      <c r="AU108" s="159">
        <f t="shared" si="10"/>
        <v>559</v>
      </c>
      <c r="AV108" s="156">
        <f t="shared" si="11"/>
        <v>559</v>
      </c>
      <c r="AW108" s="161">
        <f t="shared" si="6"/>
        <v>421.95902356405969</v>
      </c>
      <c r="AX108" s="126">
        <f t="shared" si="7"/>
        <v>421.95902356405969</v>
      </c>
      <c r="AY108" s="126">
        <f t="shared" si="8"/>
        <v>8.0409764359403084</v>
      </c>
      <c r="AZ108" s="126" t="b">
        <f t="shared" si="9"/>
        <v>0</v>
      </c>
      <c r="BA108" s="97">
        <v>21</v>
      </c>
    </row>
    <row r="109" spans="2:75" ht="18" x14ac:dyDescent="0.2">
      <c r="AQ109" s="1"/>
      <c r="AR109" s="1"/>
      <c r="AS109" s="123" t="s">
        <v>48</v>
      </c>
      <c r="AT109" s="125">
        <v>-5</v>
      </c>
      <c r="AU109" s="159">
        <f t="shared" si="10"/>
        <v>602</v>
      </c>
      <c r="AV109" s="156">
        <f t="shared" si="11"/>
        <v>602</v>
      </c>
      <c r="AW109" s="161">
        <f t="shared" si="6"/>
        <v>464.95902356405969</v>
      </c>
      <c r="AX109" s="126">
        <f t="shared" si="7"/>
        <v>464.95902356405969</v>
      </c>
      <c r="AY109" s="126">
        <f t="shared" si="8"/>
        <v>8.0409764359403084</v>
      </c>
      <c r="AZ109" s="126" t="b">
        <f t="shared" si="9"/>
        <v>0</v>
      </c>
      <c r="BA109" s="97">
        <v>22</v>
      </c>
    </row>
    <row r="110" spans="2:75" ht="18" x14ac:dyDescent="0.2">
      <c r="AQ110" s="1"/>
      <c r="AR110" s="1"/>
      <c r="AS110" s="123" t="s">
        <v>49</v>
      </c>
      <c r="AT110" s="125">
        <v>-6</v>
      </c>
      <c r="AU110" s="159">
        <f t="shared" si="10"/>
        <v>645</v>
      </c>
      <c r="AV110" s="156">
        <f t="shared" si="11"/>
        <v>645</v>
      </c>
      <c r="AW110" s="161">
        <f t="shared" si="6"/>
        <v>507.95902356405969</v>
      </c>
      <c r="AX110" s="126">
        <f t="shared" si="7"/>
        <v>507.95902356405969</v>
      </c>
      <c r="AY110" s="126">
        <f t="shared" si="8"/>
        <v>8.0409764359403084</v>
      </c>
      <c r="AZ110" s="126" t="b">
        <f t="shared" si="9"/>
        <v>0</v>
      </c>
      <c r="BA110" s="97">
        <v>23</v>
      </c>
    </row>
    <row r="111" spans="2:75" ht="18" x14ac:dyDescent="0.2">
      <c r="AQ111" s="1"/>
      <c r="AR111" s="1"/>
      <c r="AS111" s="123" t="s">
        <v>69</v>
      </c>
      <c r="AT111" s="125">
        <v>-7</v>
      </c>
      <c r="AU111" s="159">
        <f t="shared" si="10"/>
        <v>688</v>
      </c>
      <c r="AV111" s="156">
        <f t="shared" si="11"/>
        <v>688</v>
      </c>
      <c r="AW111" s="161">
        <f t="shared" si="6"/>
        <v>550.95902356405963</v>
      </c>
      <c r="AX111" s="126">
        <f>ABS(AW111)</f>
        <v>550.95902356405963</v>
      </c>
      <c r="AY111" s="126">
        <f t="shared" si="8"/>
        <v>8.0409764359403084</v>
      </c>
      <c r="AZ111" s="126" t="b">
        <f>IF(AY111=AX111,AT111)</f>
        <v>0</v>
      </c>
      <c r="BA111" s="97">
        <v>24</v>
      </c>
    </row>
    <row r="112" spans="2:75" x14ac:dyDescent="0.2">
      <c r="AQ112" s="1"/>
      <c r="AR112" s="1"/>
    </row>
    <row r="113" spans="42:49" x14ac:dyDescent="0.2">
      <c r="AQ113" s="1"/>
      <c r="AR113" s="1"/>
    </row>
    <row r="114" spans="42:49" x14ac:dyDescent="0.2">
      <c r="AQ114" s="1"/>
      <c r="AR114" s="1"/>
    </row>
    <row r="115" spans="42:49" x14ac:dyDescent="0.2">
      <c r="AQ115" s="1"/>
      <c r="AR115" s="1"/>
    </row>
    <row r="116" spans="42:49" x14ac:dyDescent="0.2">
      <c r="AQ116" s="1"/>
      <c r="AR116" s="1"/>
      <c r="AS116" s="1"/>
      <c r="AT116" s="1"/>
      <c r="AU116" s="1"/>
      <c r="AW116" s="1"/>
    </row>
    <row r="117" spans="42:49" x14ac:dyDescent="0.2">
      <c r="AQ117" s="1"/>
      <c r="AR117" s="1"/>
      <c r="AS117" s="1"/>
      <c r="AT117" s="1"/>
      <c r="AU117" s="1"/>
      <c r="AW117" s="1"/>
    </row>
    <row r="118" spans="42:49" x14ac:dyDescent="0.2">
      <c r="AQ118" s="1"/>
      <c r="AR118" s="1"/>
      <c r="AS118" s="1"/>
      <c r="AT118" s="1"/>
      <c r="AU118" s="1"/>
      <c r="AW118" s="1"/>
    </row>
    <row r="119" spans="42:49" x14ac:dyDescent="0.2">
      <c r="AQ119" s="1"/>
      <c r="AR119" s="1"/>
      <c r="AS119" s="1"/>
      <c r="AT119" s="1"/>
      <c r="AU119" s="1"/>
      <c r="AW119" s="1"/>
    </row>
    <row r="120" spans="42:49" x14ac:dyDescent="0.2">
      <c r="AQ120" s="1"/>
      <c r="AR120" s="1"/>
      <c r="AS120" s="1"/>
      <c r="AT120" s="1"/>
      <c r="AU120" s="1"/>
      <c r="AW120" s="1"/>
    </row>
    <row r="121" spans="42:49" x14ac:dyDescent="0.2">
      <c r="AQ121" s="1"/>
      <c r="AR121" s="1"/>
      <c r="AS121" s="1"/>
      <c r="AT121" s="1"/>
      <c r="AU121" s="1"/>
      <c r="AW121" s="1"/>
    </row>
    <row r="122" spans="42:49" x14ac:dyDescent="0.2">
      <c r="AQ122" s="15"/>
      <c r="AR122" s="15"/>
      <c r="AS122" s="15"/>
      <c r="AT122" s="15"/>
      <c r="AU122" s="15"/>
    </row>
    <row r="123" spans="42:49" ht="18" x14ac:dyDescent="0.2">
      <c r="AQ123" s="15"/>
      <c r="AR123" s="15"/>
      <c r="AS123" s="15"/>
      <c r="AT123" s="15"/>
      <c r="AU123" s="15"/>
      <c r="AV123" s="15"/>
      <c r="AW123" s="26"/>
    </row>
    <row r="124" spans="42:49" x14ac:dyDescent="0.2">
      <c r="AQ124" s="15"/>
      <c r="AR124" s="15"/>
      <c r="AS124" s="15"/>
      <c r="AT124" s="15"/>
      <c r="AU124" s="15"/>
      <c r="AV124" s="15"/>
      <c r="AW124" s="15"/>
    </row>
    <row r="125" spans="42:49" x14ac:dyDescent="0.2">
      <c r="AQ125" s="17"/>
      <c r="AR125" s="17"/>
      <c r="AS125" s="17"/>
      <c r="AT125" s="17"/>
      <c r="AU125" s="17"/>
      <c r="AV125" s="17"/>
      <c r="AW125" s="17"/>
    </row>
    <row r="126" spans="42:49" x14ac:dyDescent="0.2">
      <c r="AQ126" s="16"/>
      <c r="AR126" s="16"/>
      <c r="AS126" s="16"/>
      <c r="AT126" s="16"/>
      <c r="AU126" s="16"/>
      <c r="AV126" s="16"/>
      <c r="AW126" s="16"/>
    </row>
    <row r="127" spans="42:49" x14ac:dyDescent="0.2">
      <c r="AQ127" s="16"/>
      <c r="AR127" s="16"/>
      <c r="AS127" s="16"/>
      <c r="AT127" s="16"/>
      <c r="AU127" s="16"/>
      <c r="AV127" s="16"/>
      <c r="AW127" s="16"/>
    </row>
    <row r="128" spans="42:49" x14ac:dyDescent="0.2">
      <c r="AP128" s="8"/>
      <c r="AQ128" s="8"/>
      <c r="AR128" s="8"/>
      <c r="AS128" s="8"/>
      <c r="AT128" s="8"/>
      <c r="AU128" s="8"/>
      <c r="AV128" s="8"/>
      <c r="AW128" s="8"/>
    </row>
    <row r="129" spans="42:49" x14ac:dyDescent="0.2">
      <c r="AP129" s="8"/>
      <c r="AQ129" s="19"/>
      <c r="AR129" s="8"/>
      <c r="AS129" s="8"/>
      <c r="AT129" s="8"/>
      <c r="AU129" s="8"/>
      <c r="AV129" s="8"/>
      <c r="AW129" s="8"/>
    </row>
    <row r="130" spans="42:49" ht="19" x14ac:dyDescent="0.3">
      <c r="AP130" s="8"/>
      <c r="AQ130" s="85"/>
      <c r="AR130" s="86"/>
      <c r="AS130" s="9"/>
      <c r="AT130" s="9"/>
      <c r="AU130" s="9"/>
      <c r="AV130" s="9"/>
      <c r="AW130" s="9"/>
    </row>
    <row r="131" spans="42:49" ht="19" x14ac:dyDescent="0.3">
      <c r="AP131" s="8"/>
      <c r="AQ131" s="85"/>
      <c r="AR131" s="86"/>
      <c r="AS131" s="9"/>
      <c r="AT131" s="9"/>
      <c r="AU131" s="9"/>
      <c r="AV131" s="9"/>
      <c r="AW131" s="9"/>
    </row>
    <row r="132" spans="42:49" ht="19" x14ac:dyDescent="0.3">
      <c r="AP132" s="8"/>
      <c r="AQ132" s="85"/>
      <c r="AR132" s="86"/>
      <c r="AS132" s="9"/>
      <c r="AT132" s="9"/>
      <c r="AU132" s="9"/>
      <c r="AV132" s="9"/>
      <c r="AW132" s="9"/>
    </row>
    <row r="133" spans="42:49" ht="19" x14ac:dyDescent="0.3">
      <c r="AP133" s="8"/>
      <c r="AQ133" s="85"/>
      <c r="AR133" s="86"/>
      <c r="AS133" s="9"/>
      <c r="AT133" s="9"/>
      <c r="AU133" s="9"/>
      <c r="AV133" s="9"/>
      <c r="AW133" s="9"/>
    </row>
    <row r="134" spans="42:49" ht="19" x14ac:dyDescent="0.3">
      <c r="AP134" s="8"/>
      <c r="AQ134" s="85"/>
      <c r="AR134" s="86"/>
      <c r="AS134" s="9"/>
      <c r="AT134" s="9"/>
      <c r="AU134" s="9"/>
      <c r="AV134" s="9"/>
      <c r="AW134" s="9"/>
    </row>
    <row r="135" spans="42:49" ht="19" x14ac:dyDescent="0.3">
      <c r="AP135" s="8"/>
      <c r="AQ135" s="85"/>
      <c r="AR135" s="86"/>
      <c r="AS135" s="9"/>
      <c r="AT135" s="9"/>
      <c r="AU135" s="9"/>
      <c r="AV135" s="9"/>
      <c r="AW135" s="9"/>
    </row>
    <row r="136" spans="42:49" ht="19" x14ac:dyDescent="0.3">
      <c r="AP136" s="8"/>
      <c r="AQ136" s="85"/>
      <c r="AR136" s="86"/>
      <c r="AS136" s="9"/>
      <c r="AT136" s="9"/>
      <c r="AU136" s="9"/>
      <c r="AV136" s="9"/>
      <c r="AW136" s="9"/>
    </row>
    <row r="137" spans="42:49" ht="19" x14ac:dyDescent="0.3">
      <c r="AP137" s="8"/>
      <c r="AQ137" s="85"/>
      <c r="AR137" s="86"/>
      <c r="AS137" s="9"/>
      <c r="AT137" s="9"/>
      <c r="AU137" s="9"/>
      <c r="AV137" s="9"/>
      <c r="AW137" s="9"/>
    </row>
    <row r="138" spans="42:49" ht="19" x14ac:dyDescent="0.3">
      <c r="AP138" s="8"/>
      <c r="AQ138" s="85"/>
      <c r="AR138" s="86"/>
      <c r="AS138" s="9"/>
      <c r="AT138" s="9"/>
      <c r="AU138" s="9"/>
      <c r="AV138" s="9"/>
      <c r="AW138" s="9"/>
    </row>
    <row r="139" spans="42:49" ht="19" x14ac:dyDescent="0.3">
      <c r="AP139" s="8"/>
      <c r="AQ139" s="85"/>
      <c r="AR139" s="86"/>
      <c r="AS139" s="9"/>
      <c r="AT139" s="9"/>
      <c r="AU139" s="9"/>
      <c r="AV139" s="9"/>
      <c r="AW139" s="9"/>
    </row>
    <row r="140" spans="42:49" ht="19" x14ac:dyDescent="0.3">
      <c r="AP140" s="8"/>
      <c r="AQ140" s="85"/>
      <c r="AR140" s="86"/>
      <c r="AS140" s="9"/>
      <c r="AT140" s="9"/>
      <c r="AU140" s="9"/>
      <c r="AV140" s="9"/>
      <c r="AW140" s="9"/>
    </row>
    <row r="141" spans="42:49" ht="19" x14ac:dyDescent="0.3">
      <c r="AP141" s="8"/>
      <c r="AQ141" s="85"/>
      <c r="AR141" s="86"/>
      <c r="AS141" s="9"/>
      <c r="AT141" s="9"/>
      <c r="AU141" s="9"/>
      <c r="AV141" s="9"/>
      <c r="AW141" s="9"/>
    </row>
    <row r="142" spans="42:49" ht="19" x14ac:dyDescent="0.3">
      <c r="AP142" s="8"/>
      <c r="AQ142" s="85"/>
      <c r="AR142" s="86"/>
      <c r="AS142" s="9"/>
      <c r="AT142" s="9"/>
      <c r="AU142" s="9"/>
      <c r="AV142" s="9"/>
      <c r="AW142" s="9"/>
    </row>
    <row r="143" spans="42:49" ht="19" x14ac:dyDescent="0.3">
      <c r="AP143" s="8"/>
      <c r="AQ143" s="85"/>
      <c r="AR143" s="86"/>
      <c r="AS143" s="9"/>
      <c r="AT143" s="9"/>
      <c r="AU143" s="9"/>
      <c r="AV143" s="9"/>
      <c r="AW143" s="9"/>
    </row>
    <row r="144" spans="42:49" ht="19" x14ac:dyDescent="0.3">
      <c r="AP144" s="8"/>
      <c r="AQ144" s="85"/>
      <c r="AR144" s="86"/>
      <c r="AS144" s="9"/>
      <c r="AT144" s="9"/>
      <c r="AU144" s="9"/>
      <c r="AV144" s="9"/>
      <c r="AW144" s="9"/>
    </row>
    <row r="145" spans="42:49" ht="19" x14ac:dyDescent="0.3">
      <c r="AP145" s="8"/>
      <c r="AQ145" s="85"/>
      <c r="AR145" s="86"/>
      <c r="AS145" s="9"/>
      <c r="AT145" s="9"/>
      <c r="AU145" s="9"/>
      <c r="AV145" s="9"/>
      <c r="AW145" s="9"/>
    </row>
    <row r="146" spans="42:49" ht="19" x14ac:dyDescent="0.3">
      <c r="AP146" s="8"/>
      <c r="AQ146" s="85"/>
      <c r="AR146" s="86"/>
      <c r="AS146" s="9"/>
      <c r="AT146" s="9"/>
      <c r="AU146" s="9"/>
      <c r="AV146" s="9"/>
      <c r="AW146" s="9"/>
    </row>
    <row r="147" spans="42:49" ht="19" x14ac:dyDescent="0.3">
      <c r="AP147" s="8"/>
      <c r="AQ147" s="85"/>
      <c r="AR147" s="86"/>
      <c r="AS147" s="9"/>
      <c r="AT147" s="9"/>
      <c r="AU147" s="9"/>
      <c r="AV147" s="9"/>
      <c r="AW147" s="9"/>
    </row>
    <row r="148" spans="42:49" ht="19" x14ac:dyDescent="0.3">
      <c r="AP148" s="8"/>
      <c r="AQ148" s="85"/>
      <c r="AR148" s="86"/>
      <c r="AS148" s="9"/>
      <c r="AT148" s="9"/>
      <c r="AU148" s="9"/>
      <c r="AV148" s="9"/>
      <c r="AW148" s="9"/>
    </row>
    <row r="149" spans="42:49" ht="19" x14ac:dyDescent="0.3">
      <c r="AP149" s="8"/>
      <c r="AQ149" s="85"/>
      <c r="AR149" s="86"/>
      <c r="AS149" s="9"/>
      <c r="AT149" s="9"/>
      <c r="AU149" s="9"/>
      <c r="AV149" s="9"/>
      <c r="AW149" s="9"/>
    </row>
    <row r="150" spans="42:49" ht="19" x14ac:dyDescent="0.3">
      <c r="AP150" s="8"/>
      <c r="AQ150" s="85"/>
      <c r="AR150" s="86"/>
      <c r="AS150" s="9"/>
      <c r="AT150" s="9"/>
      <c r="AU150" s="9"/>
      <c r="AV150" s="9"/>
      <c r="AW150" s="9"/>
    </row>
    <row r="151" spans="42:49" ht="19" x14ac:dyDescent="0.3">
      <c r="AP151" s="8"/>
      <c r="AQ151" s="85"/>
      <c r="AR151" s="86"/>
      <c r="AS151" s="9"/>
      <c r="AT151" s="9"/>
      <c r="AU151" s="9"/>
      <c r="AV151" s="9"/>
      <c r="AW151" s="9"/>
    </row>
    <row r="152" spans="42:49" ht="19" x14ac:dyDescent="0.3">
      <c r="AP152" s="8"/>
      <c r="AQ152" s="85"/>
      <c r="AR152" s="86"/>
      <c r="AS152" s="9"/>
      <c r="AT152" s="9"/>
      <c r="AU152" s="9"/>
      <c r="AV152" s="9"/>
      <c r="AW152" s="9"/>
    </row>
    <row r="153" spans="42:49" ht="19" x14ac:dyDescent="0.3">
      <c r="AP153" s="8"/>
      <c r="AQ153" s="85"/>
      <c r="AR153" s="86"/>
      <c r="AS153" s="9"/>
      <c r="AT153" s="9"/>
      <c r="AU153" s="9"/>
      <c r="AV153" s="9"/>
      <c r="AW153" s="9"/>
    </row>
    <row r="154" spans="42:49" ht="19" x14ac:dyDescent="0.3">
      <c r="AP154" s="8"/>
      <c r="AQ154" s="85"/>
      <c r="AR154" s="86"/>
      <c r="AS154" s="9"/>
      <c r="AT154" s="9"/>
      <c r="AU154" s="9"/>
      <c r="AV154" s="9"/>
      <c r="AW154" s="87"/>
    </row>
    <row r="155" spans="42:49" ht="19" x14ac:dyDescent="0.3">
      <c r="AP155" s="8"/>
      <c r="AQ155" s="85"/>
      <c r="AR155" s="86"/>
      <c r="AS155" s="9"/>
      <c r="AT155" s="9"/>
      <c r="AU155" s="9"/>
      <c r="AV155" s="9"/>
      <c r="AW155" s="87"/>
    </row>
    <row r="156" spans="42:49" ht="19" x14ac:dyDescent="0.3">
      <c r="AP156" s="8"/>
      <c r="AQ156" s="85"/>
      <c r="AR156" s="86"/>
      <c r="AS156" s="9"/>
      <c r="AT156" s="9"/>
      <c r="AU156" s="9"/>
      <c r="AV156" s="9"/>
      <c r="AW156" s="87"/>
    </row>
    <row r="157" spans="42:49" ht="19" x14ac:dyDescent="0.3">
      <c r="AP157" s="8"/>
      <c r="AQ157" s="85"/>
      <c r="AR157" s="86"/>
      <c r="AS157" s="9"/>
      <c r="AT157" s="9"/>
      <c r="AU157" s="9"/>
      <c r="AV157" s="9"/>
      <c r="AW157" s="87"/>
    </row>
    <row r="158" spans="42:49" ht="19" x14ac:dyDescent="0.3">
      <c r="AP158" s="8"/>
      <c r="AQ158" s="85"/>
      <c r="AR158" s="86"/>
      <c r="AS158" s="9"/>
      <c r="AT158" s="9"/>
      <c r="AU158" s="9"/>
      <c r="AV158" s="9"/>
      <c r="AW158" s="87"/>
    </row>
    <row r="159" spans="42:49" ht="19" x14ac:dyDescent="0.3">
      <c r="AP159" s="8"/>
      <c r="AQ159" s="85"/>
      <c r="AR159" s="86"/>
      <c r="AS159" s="9"/>
      <c r="AT159" s="9"/>
      <c r="AU159" s="9"/>
      <c r="AV159" s="9"/>
      <c r="AW159" s="87"/>
    </row>
    <row r="160" spans="42:49" x14ac:dyDescent="0.2">
      <c r="AP160" s="8"/>
      <c r="AQ160" s="87"/>
      <c r="AR160" s="87"/>
      <c r="AS160" s="87"/>
      <c r="AT160" s="87"/>
      <c r="AU160" s="87"/>
      <c r="AV160" s="87"/>
      <c r="AW160" s="87"/>
    </row>
    <row r="161" spans="42:49" x14ac:dyDescent="0.2">
      <c r="AP161" s="8"/>
      <c r="AQ161" s="87"/>
      <c r="AR161" s="87"/>
      <c r="AS161" s="87"/>
      <c r="AT161" s="87"/>
      <c r="AU161" s="87"/>
      <c r="AV161" s="87"/>
      <c r="AW161" s="87"/>
    </row>
    <row r="162" spans="42:49" x14ac:dyDescent="0.2">
      <c r="AQ162" s="15"/>
      <c r="AR162" s="15"/>
      <c r="AS162" s="15"/>
      <c r="AT162" s="15"/>
      <c r="AU162" s="15"/>
      <c r="AV162" s="15"/>
      <c r="AW162" s="15"/>
    </row>
    <row r="163" spans="42:49" x14ac:dyDescent="0.2">
      <c r="AQ163" s="15"/>
      <c r="AR163" s="15"/>
      <c r="AS163" s="15"/>
      <c r="AT163" s="15"/>
      <c r="AU163" s="15"/>
      <c r="AV163" s="15"/>
      <c r="AW163" s="15"/>
    </row>
    <row r="164" spans="42:49" x14ac:dyDescent="0.2">
      <c r="AQ164" s="15"/>
      <c r="AR164" s="15"/>
      <c r="AS164" s="15"/>
      <c r="AT164" s="15"/>
      <c r="AU164" s="15"/>
      <c r="AV164" s="15"/>
      <c r="AW164" s="15"/>
    </row>
    <row r="165" spans="42:49" x14ac:dyDescent="0.2">
      <c r="AQ165" s="15"/>
      <c r="AR165" s="15"/>
      <c r="AS165" s="15"/>
      <c r="AT165" s="15"/>
      <c r="AU165" s="15"/>
      <c r="AV165" s="15"/>
      <c r="AW165" s="15"/>
    </row>
    <row r="166" spans="42:49" x14ac:dyDescent="0.2">
      <c r="AQ166" s="15"/>
      <c r="AR166" s="15"/>
      <c r="AS166" s="15"/>
      <c r="AT166" s="15"/>
      <c r="AU166" s="15"/>
      <c r="AV166" s="15"/>
      <c r="AW166" s="15"/>
    </row>
    <row r="167" spans="42:49" x14ac:dyDescent="0.2">
      <c r="AQ167" s="15"/>
      <c r="AR167" s="15"/>
      <c r="AS167" s="15"/>
      <c r="AT167" s="15"/>
      <c r="AU167" s="15"/>
      <c r="AV167" s="15"/>
      <c r="AW167" s="15"/>
    </row>
    <row r="168" spans="42:49" x14ac:dyDescent="0.2">
      <c r="AQ168" s="15"/>
      <c r="AR168" s="15"/>
      <c r="AS168" s="15"/>
      <c r="AT168" s="15"/>
      <c r="AU168" s="15"/>
      <c r="AV168" s="15"/>
      <c r="AW168" s="15"/>
    </row>
    <row r="169" spans="42:49" x14ac:dyDescent="0.2">
      <c r="AQ169" s="15"/>
      <c r="AR169" s="15"/>
      <c r="AS169" s="15"/>
      <c r="AT169" s="15"/>
      <c r="AU169" s="15"/>
      <c r="AV169" s="15"/>
      <c r="AW169" s="15"/>
    </row>
    <row r="170" spans="42:49" x14ac:dyDescent="0.2">
      <c r="AQ170" s="15"/>
      <c r="AR170" s="15"/>
      <c r="AS170" s="15"/>
      <c r="AT170" s="15"/>
      <c r="AU170" s="15"/>
      <c r="AV170" s="15"/>
      <c r="AW170" s="15"/>
    </row>
    <row r="171" spans="42:49" x14ac:dyDescent="0.2">
      <c r="AQ171" s="15"/>
      <c r="AR171" s="15"/>
      <c r="AS171" s="15"/>
      <c r="AT171" s="15"/>
      <c r="AU171" s="15"/>
      <c r="AV171" s="15"/>
      <c r="AW171" s="15"/>
    </row>
    <row r="172" spans="42:49" x14ac:dyDescent="0.2">
      <c r="AQ172" s="15"/>
      <c r="AR172" s="15"/>
      <c r="AS172" s="15"/>
      <c r="AT172" s="15"/>
      <c r="AU172" s="15"/>
      <c r="AV172" s="15"/>
      <c r="AW172" s="15"/>
    </row>
    <row r="173" spans="42:49" x14ac:dyDescent="0.2">
      <c r="AQ173" s="15"/>
      <c r="AR173" s="15"/>
      <c r="AS173" s="15"/>
      <c r="AT173" s="15"/>
      <c r="AU173" s="15"/>
      <c r="AV173" s="15"/>
      <c r="AW173" s="15"/>
    </row>
    <row r="174" spans="42:49" x14ac:dyDescent="0.2">
      <c r="AQ174" s="15"/>
      <c r="AR174" s="15"/>
      <c r="AS174" s="15"/>
      <c r="AT174" s="15"/>
      <c r="AU174" s="15"/>
      <c r="AV174" s="15"/>
      <c r="AW174" s="15"/>
    </row>
    <row r="175" spans="42:49" x14ac:dyDescent="0.2">
      <c r="AQ175" s="15"/>
      <c r="AR175" s="15"/>
      <c r="AS175" s="15"/>
      <c r="AT175" s="15"/>
      <c r="AU175" s="15"/>
      <c r="AV175" s="15"/>
      <c r="AW175" s="15"/>
    </row>
    <row r="176" spans="42:49" x14ac:dyDescent="0.2">
      <c r="AQ176" s="15"/>
      <c r="AR176" s="15"/>
      <c r="AS176" s="15"/>
      <c r="AT176" s="15"/>
      <c r="AU176" s="15"/>
      <c r="AV176" s="15"/>
      <c r="AW176" s="15"/>
    </row>
    <row r="177" spans="43:49" x14ac:dyDescent="0.2">
      <c r="AQ177" s="15"/>
      <c r="AR177" s="15"/>
      <c r="AS177" s="15"/>
      <c r="AT177" s="15"/>
      <c r="AU177" s="15"/>
      <c r="AV177" s="15"/>
      <c r="AW177" s="15"/>
    </row>
    <row r="178" spans="43:49" x14ac:dyDescent="0.2">
      <c r="AQ178" s="15"/>
      <c r="AR178" s="15"/>
      <c r="AS178" s="15"/>
      <c r="AT178" s="15"/>
      <c r="AU178" s="15"/>
      <c r="AV178" s="15"/>
      <c r="AW178" s="15"/>
    </row>
    <row r="179" spans="43:49" x14ac:dyDescent="0.2">
      <c r="AQ179" s="15"/>
      <c r="AR179" s="15"/>
      <c r="AS179" s="15"/>
      <c r="AT179" s="15"/>
      <c r="AU179" s="15"/>
      <c r="AV179" s="15"/>
      <c r="AW179" s="15"/>
    </row>
    <row r="180" spans="43:49" x14ac:dyDescent="0.2">
      <c r="AQ180" s="15"/>
      <c r="AR180" s="15"/>
      <c r="AS180" s="15"/>
      <c r="AT180" s="15"/>
      <c r="AU180" s="15"/>
      <c r="AV180" s="15"/>
      <c r="AW180" s="15"/>
    </row>
    <row r="181" spans="43:49" x14ac:dyDescent="0.2">
      <c r="AQ181" s="15"/>
      <c r="AR181" s="15"/>
      <c r="AS181" s="15"/>
      <c r="AT181" s="15"/>
      <c r="AU181" s="15"/>
      <c r="AV181" s="15"/>
      <c r="AW181" s="15"/>
    </row>
    <row r="182" spans="43:49" x14ac:dyDescent="0.2">
      <c r="AQ182" s="15"/>
      <c r="AR182" s="15"/>
      <c r="AS182" s="15"/>
      <c r="AT182" s="15"/>
      <c r="AU182" s="15"/>
      <c r="AV182" s="15"/>
      <c r="AW182" s="15"/>
    </row>
    <row r="183" spans="43:49" x14ac:dyDescent="0.2">
      <c r="AQ183" s="15"/>
      <c r="AR183" s="15"/>
      <c r="AS183" s="15"/>
      <c r="AT183" s="15"/>
      <c r="AU183" s="15"/>
      <c r="AV183" s="15"/>
      <c r="AW183" s="15"/>
    </row>
  </sheetData>
  <sheetProtection password="CC06" sheet="1" objects="1" scenarios="1" selectLockedCells="1"/>
  <protectedRanges>
    <protectedRange sqref="B50 B88" name="Range1"/>
  </protectedRanges>
  <mergeCells count="18">
    <mergeCell ref="AN87:AO87"/>
    <mergeCell ref="BU64:CA64"/>
    <mergeCell ref="Z68:AA68"/>
    <mergeCell ref="D87:E87"/>
    <mergeCell ref="M68:N68"/>
    <mergeCell ref="BZ11:CA11"/>
    <mergeCell ref="BD5:BE5"/>
    <mergeCell ref="B48:B49"/>
    <mergeCell ref="D4:D5"/>
    <mergeCell ref="BD8:BE8"/>
    <mergeCell ref="M39:O39"/>
    <mergeCell ref="BU49:CA50"/>
    <mergeCell ref="B8:E8"/>
    <mergeCell ref="B7:E7"/>
    <mergeCell ref="BS8:BT8"/>
    <mergeCell ref="BK11:BL11"/>
    <mergeCell ref="BK50:BL50"/>
    <mergeCell ref="BS50:BT50"/>
  </mergeCells>
  <phoneticPr fontId="2" type="noConversion"/>
  <conditionalFormatting sqref="AT88:AT93 AQ129:AQ136 BM90:BM94">
    <cfRule type="cellIs" dxfId="33" priority="110" stopIfTrue="1" operator="between">
      <formula>"заяка"</formula>
      <formula>"заявка"</formula>
    </cfRule>
  </conditionalFormatting>
  <conditionalFormatting sqref="AZ88:AZ111 AW130:AW153 AV130:AV159">
    <cfRule type="cellIs" dxfId="32" priority="113" stopIfTrue="1" operator="equal">
      <formula>FALSE</formula>
    </cfRule>
  </conditionalFormatting>
  <conditionalFormatting sqref="BR71:BV71 BI71:BP71 M75:AA75 BD66:CA67">
    <cfRule type="cellIs" dxfId="31" priority="108" stopIfTrue="1" operator="equal">
      <formula>FALSE</formula>
    </cfRule>
  </conditionalFormatting>
  <conditionalFormatting sqref="BK64:BT64 M69:AA69 BD45:BZ46 CA43:CA46">
    <cfRule type="cellIs" dxfId="30" priority="16" stopIfTrue="1" operator="equal">
      <formula>0</formula>
    </cfRule>
  </conditionalFormatting>
  <conditionalFormatting sqref="E85:F85 E84:E85">
    <cfRule type="cellIs" dxfId="29" priority="142" stopIfTrue="1" operator="equal">
      <formula>"USE EXBAR SCPF AT THE BACK"</formula>
    </cfRule>
  </conditionalFormatting>
  <conditionalFormatting sqref="E84:F84 E84:E85">
    <cfRule type="cellIs" dxfId="28" priority="143" stopIfTrue="1" operator="equal">
      <formula>"USE EXBAR SCPF AT THE FRONT"</formula>
    </cfRule>
  </conditionalFormatting>
  <conditionalFormatting sqref="B91:B102">
    <cfRule type="cellIs" dxfId="27" priority="104" stopIfTrue="1" operator="greaterThan">
      <formula>$B$88</formula>
    </cfRule>
  </conditionalFormatting>
  <conditionalFormatting sqref="U91 AL91:AO91 D91:E91">
    <cfRule type="expression" dxfId="26" priority="103" stopIfTrue="1">
      <formula>$B$88&lt;1</formula>
    </cfRule>
  </conditionalFormatting>
  <conditionalFormatting sqref="U92 AL92:AO92 D92:E92">
    <cfRule type="expression" dxfId="25" priority="102" stopIfTrue="1">
      <formula>$B$88&lt;2</formula>
    </cfRule>
  </conditionalFormatting>
  <conditionalFormatting sqref="U93 AL93:AO93 D93:E93">
    <cfRule type="expression" dxfId="24" priority="101" stopIfTrue="1">
      <formula>$B$88&lt;3</formula>
    </cfRule>
  </conditionalFormatting>
  <conditionalFormatting sqref="U94 AL94:AO94 D94:E94">
    <cfRule type="expression" dxfId="23" priority="100" stopIfTrue="1">
      <formula>$B$88&lt;4</formula>
    </cfRule>
  </conditionalFormatting>
  <conditionalFormatting sqref="U95 AL95:AO95 D95:E95">
    <cfRule type="expression" dxfId="22" priority="99" stopIfTrue="1">
      <formula>$B$88&lt;5</formula>
    </cfRule>
  </conditionalFormatting>
  <conditionalFormatting sqref="D96 U96 AL96:AO96 E96:E97">
    <cfRule type="expression" dxfId="21" priority="98" stopIfTrue="1">
      <formula>$B$88&lt;6</formula>
    </cfRule>
  </conditionalFormatting>
  <conditionalFormatting sqref="U97 AL97:AO97 D97:E97">
    <cfRule type="expression" dxfId="20" priority="97" stopIfTrue="1">
      <formula>$B$88&lt;7</formula>
    </cfRule>
  </conditionalFormatting>
  <conditionalFormatting sqref="U98 AL98:AO98 D98:E98">
    <cfRule type="expression" dxfId="19" priority="96" stopIfTrue="1">
      <formula>$B$88&lt;8</formula>
    </cfRule>
  </conditionalFormatting>
  <conditionalFormatting sqref="U99 AL99:AO99 D99:E99">
    <cfRule type="expression" dxfId="18" priority="95" stopIfTrue="1">
      <formula>$B$88&lt;9</formula>
    </cfRule>
  </conditionalFormatting>
  <conditionalFormatting sqref="U100 AL100:AO100 D100:E100">
    <cfRule type="expression" dxfId="17" priority="70" stopIfTrue="1">
      <formula>$B$88&lt;10</formula>
    </cfRule>
  </conditionalFormatting>
  <conditionalFormatting sqref="U101 AL101:AO101 D101:E101">
    <cfRule type="expression" dxfId="16" priority="33" stopIfTrue="1">
      <formula>$B$88&lt;11</formula>
    </cfRule>
  </conditionalFormatting>
  <conditionalFormatting sqref="U102 AL102:AO102 D102:E102">
    <cfRule type="expression" dxfId="15" priority="30" stopIfTrue="1">
      <formula>$B$88&lt;12</formula>
    </cfRule>
  </conditionalFormatting>
  <conditionalFormatting sqref="D46 D48">
    <cfRule type="cellIs" dxfId="14" priority="168" stopIfTrue="1" operator="equal">
      <formula>"change the angle of frame"</formula>
    </cfRule>
  </conditionalFormatting>
  <conditionalFormatting sqref="D91:D102">
    <cfRule type="cellIs" dxfId="13" priority="105" stopIfTrue="1" operator="notEqual">
      <formula>0</formula>
    </cfRule>
  </conditionalFormatting>
  <conditionalFormatting sqref="G91:H91">
    <cfRule type="expression" dxfId="12" priority="21" stopIfTrue="1">
      <formula>$B$95&lt;1</formula>
    </cfRule>
  </conditionalFormatting>
  <conditionalFormatting sqref="O91">
    <cfRule type="expression" dxfId="11" priority="20" stopIfTrue="1">
      <formula>$B$95&lt;1</formula>
    </cfRule>
  </conditionalFormatting>
  <conditionalFormatting sqref="P91">
    <cfRule type="expression" dxfId="10" priority="19" stopIfTrue="1">
      <formula>$B$95&lt;1</formula>
    </cfRule>
  </conditionalFormatting>
  <conditionalFormatting sqref="D50">
    <cfRule type="cellIs" dxfId="9" priority="17" stopIfTrue="1" operator="equal">
      <formula>"USE EXBAR SCPF AT THE BACK"</formula>
    </cfRule>
  </conditionalFormatting>
  <conditionalFormatting sqref="D49">
    <cfRule type="cellIs" dxfId="8" priority="18" stopIfTrue="1" operator="equal">
      <formula>"USE EXBAR SCPF AT THE FRONT"</formula>
    </cfRule>
  </conditionalFormatting>
  <conditionalFormatting sqref="BD46:CA46 BK64:BT64">
    <cfRule type="expression" dxfId="7" priority="15">
      <formula>$B$50=0</formula>
    </cfRule>
    <cfRule type="expression" dxfId="6" priority="109">
      <formula>$B$50=0</formula>
    </cfRule>
  </conditionalFormatting>
  <conditionalFormatting sqref="E5">
    <cfRule type="expression" dxfId="5" priority="10">
      <formula>$BA$50=0</formula>
    </cfRule>
    <cfRule type="cellIs" dxfId="4" priority="13" stopIfTrue="1" operator="between">
      <formula>"OVERLOAD"</formula>
      <formula>"OVERLOAD"</formula>
    </cfRule>
  </conditionalFormatting>
  <conditionalFormatting sqref="BA50">
    <cfRule type="cellIs" dxfId="3" priority="11" operator="equal">
      <formula>0</formula>
    </cfRule>
  </conditionalFormatting>
  <conditionalFormatting sqref="B11 D11:E11">
    <cfRule type="expression" dxfId="2" priority="7">
      <formula>$BA$50=0</formula>
    </cfRule>
  </conditionalFormatting>
  <conditionalFormatting sqref="B5">
    <cfRule type="expression" dxfId="1" priority="1">
      <formula>$BA$50=0</formula>
    </cfRule>
    <cfRule type="cellIs" dxfId="0" priority="2" stopIfTrue="1" operator="between">
      <formula>"OVERLOAD"</formula>
      <formula>"OVERLOAD"</formula>
    </cfRule>
  </conditionalFormatting>
  <dataValidations xWindow="117" yWindow="834" count="5">
    <dataValidation type="whole" allowBlank="1" showInputMessage="1" showErrorMessage="1" errorTitle="Coda Audio" error="YOU HAVE ENTERED A WRONG NUMBER OF CABINETS" promptTitle="Coda Audio" prompt="ENTER THE NUMBER OF CABINETS FROM 1 UP TO 10" sqref="B88">
      <formula1>1</formula1>
      <formula2>10</formula2>
    </dataValidation>
    <dataValidation type="decimal" allowBlank="1" showInputMessage="1" showErrorMessage="1" sqref="F92:F102">
      <formula1>0</formula1>
      <formula2>8</formula2>
    </dataValidation>
    <dataValidation type="decimal" allowBlank="1" showInputMessage="1" showErrorMessage="1" sqref="F91">
      <formula1>0</formula1>
      <formula2>4</formula2>
    </dataValidation>
    <dataValidation type="custom" allowBlank="1" showInputMessage="1" showErrorMessage="1" sqref="D91:D102">
      <formula1>OR(D91=0,D91=2,D91=5)</formula1>
    </dataValidation>
    <dataValidation type="decimal" allowBlank="1" showInputMessage="1" showErrorMessage="1" sqref="B50">
      <formula1>-89.9</formula1>
      <formula2>89.9</formula2>
    </dataValidation>
  </dataValidations>
  <pageMargins left="0.75" right="0.75" top="1" bottom="1" header="0.5" footer="0.5"/>
  <pageSetup orientation="portrait" r:id="rId1"/>
  <headerFooter alignWithMargins="0"/>
  <ignoredErrors>
    <ignoredError sqref="E5 B5 D11:E11 B11 BM85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SCP-F</vt:lpstr>
    </vt:vector>
  </TitlesOfParts>
  <Company>CODA AUDIO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Microsoft Office User</cp:lastModifiedBy>
  <dcterms:created xsi:type="dcterms:W3CDTF">2009-10-07T12:24:30Z</dcterms:created>
  <dcterms:modified xsi:type="dcterms:W3CDTF">2018-08-20T08:26:07Z</dcterms:modified>
</cp:coreProperties>
</file>